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Dropbox\sbc master from dropbox 5.21\Clients\Old Clients or Unsuccessful pitches\WA Green Schools\TOOL\FINAL DELIVERABLES\"/>
    </mc:Choice>
  </mc:AlternateContent>
  <xr:revisionPtr revIDLastSave="0" documentId="13_ncr:1_{CAA62B2F-C169-4C87-B1AA-15C155D019F0}" xr6:coauthVersionLast="46" xr6:coauthVersionMax="46" xr10:uidLastSave="{00000000-0000-0000-0000-000000000000}"/>
  <workbookProtection workbookAlgorithmName="SHA-512" workbookHashValue="Cu9neiJdhJ2uOnQSqKPCz+gnmwqfMMIAWZpIxxcl5Cq2/9JJ1gD6gVMYaGh4c5T0+G88ctchEyGc0viqp/WAKg==" workbookSaltValue="HY7vNSAHCtaSQQHh4lM5AQ==" workbookSpinCount="100000" lockStructure="1"/>
  <bookViews>
    <workbookView xWindow="1164" yWindow="1044" windowWidth="21876" windowHeight="11316" xr2:uid="{2E490D64-8160-47C0-87E4-0E1DB34E3836}"/>
  </bookViews>
  <sheets>
    <sheet name="Home Projects" sheetId="1" r:id="rId1"/>
    <sheet name="Results Summary" sheetId="3" r:id="rId2"/>
    <sheet name="Conversion Factors" sheetId="2" r:id="rId3"/>
    <sheet name="Glossary" sheetId="4" r:id="rId4"/>
  </sheets>
  <definedNames>
    <definedName name="CFL_Lighting">'Conversion Factors'!$D$113:$D$116</definedName>
    <definedName name="Halogen_Lighting">'Conversion Factors'!$C$113:$C$116</definedName>
    <definedName name="Incandescent_Lighting">'Conversion Factors'!$B$113:$B$116</definedName>
    <definedName name="Not_sure">'Conversion Factors'!$E$113:$E$116</definedName>
    <definedName name="Select_from_the_list">'Conversion Factors'!$A$113:$A$116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 i="1" l="1"/>
  <c r="D34" i="1"/>
  <c r="G27" i="1" l="1"/>
  <c r="G28" i="1" s="1"/>
  <c r="G45" i="1"/>
  <c r="G16" i="1"/>
  <c r="G18" i="1" s="1"/>
  <c r="G17" i="1" l="1"/>
  <c r="G19" i="1" s="1"/>
  <c r="G29" i="1"/>
  <c r="G44" i="1"/>
  <c r="D47" i="1"/>
  <c r="G43" i="1" s="1"/>
  <c r="B180" i="2"/>
  <c r="G41" i="1" l="1"/>
  <c r="B343" i="2" l="1"/>
  <c r="B344" i="2"/>
  <c r="G42" i="1" l="1"/>
  <c r="D88" i="1" l="1"/>
  <c r="G55" i="1" l="1"/>
  <c r="B117" i="2" l="1"/>
  <c r="G53" i="1" l="1"/>
  <c r="B258" i="2"/>
  <c r="G74" i="1"/>
  <c r="G72" i="1"/>
  <c r="C6" i="3" l="1"/>
  <c r="I6" i="3" l="1"/>
  <c r="G66" i="1" l="1"/>
  <c r="G65" i="1"/>
  <c r="D23" i="3" s="1"/>
  <c r="D19" i="1"/>
  <c r="G75" i="1"/>
  <c r="G73" i="1"/>
  <c r="G56" i="1"/>
  <c r="G54" i="1"/>
  <c r="G57" i="1" s="1"/>
  <c r="G32" i="1"/>
  <c r="G30" i="1"/>
  <c r="B471" i="2"/>
  <c r="B470" i="2"/>
  <c r="D457" i="2"/>
  <c r="C457" i="2"/>
  <c r="B450" i="2"/>
  <c r="B449" i="2"/>
  <c r="B448" i="2"/>
  <c r="B444" i="2"/>
  <c r="B443" i="2"/>
  <c r="D438" i="2"/>
  <c r="C438" i="2"/>
  <c r="B432" i="2"/>
  <c r="B433" i="2" s="1"/>
  <c r="B428" i="2"/>
  <c r="B415" i="2"/>
  <c r="D410" i="2"/>
  <c r="D409" i="2"/>
  <c r="D408" i="2"/>
  <c r="D407" i="2"/>
  <c r="D406" i="2"/>
  <c r="D405" i="2"/>
  <c r="D404" i="2"/>
  <c r="D403" i="2"/>
  <c r="D402" i="2"/>
  <c r="D401" i="2"/>
  <c r="D400" i="2"/>
  <c r="D399" i="2"/>
  <c r="D398" i="2"/>
  <c r="D397" i="2"/>
  <c r="D396" i="2"/>
  <c r="D395" i="2"/>
  <c r="D394" i="2"/>
  <c r="D393" i="2"/>
  <c r="B393" i="2"/>
  <c r="D392" i="2"/>
  <c r="D391" i="2"/>
  <c r="D390" i="2"/>
  <c r="D389" i="2"/>
  <c r="D388" i="2"/>
  <c r="D387" i="2"/>
  <c r="B387" i="2"/>
  <c r="D386" i="2"/>
  <c r="D385" i="2"/>
  <c r="B384" i="2"/>
  <c r="D384" i="2" s="1"/>
  <c r="D383" i="2"/>
  <c r="D382" i="2"/>
  <c r="D381" i="2"/>
  <c r="D380" i="2"/>
  <c r="D379" i="2"/>
  <c r="D378" i="2"/>
  <c r="D377" i="2"/>
  <c r="D376" i="2"/>
  <c r="D375" i="2"/>
  <c r="D374" i="2"/>
  <c r="B361" i="2"/>
  <c r="B360" i="2"/>
  <c r="B359" i="2"/>
  <c r="B358" i="2"/>
  <c r="B349" i="2"/>
  <c r="B331" i="2"/>
  <c r="B329" i="2"/>
  <c r="B312" i="2"/>
  <c r="B311" i="2"/>
  <c r="B310" i="2"/>
  <c r="B305" i="2"/>
  <c r="B299" i="2"/>
  <c r="B295" i="2"/>
  <c r="B297" i="2" s="1"/>
  <c r="C285" i="2"/>
  <c r="B285" i="2"/>
  <c r="B280" i="2" s="1"/>
  <c r="B288" i="2" s="1"/>
  <c r="B275" i="2"/>
  <c r="B268" i="2"/>
  <c r="B266" i="2"/>
  <c r="B257" i="2"/>
  <c r="B249" i="2"/>
  <c r="B236" i="2"/>
  <c r="F218" i="2"/>
  <c r="D212" i="2"/>
  <c r="D209" i="2"/>
  <c r="B204" i="2"/>
  <c r="B203" i="2"/>
  <c r="B184" i="2"/>
  <c r="B183" i="2"/>
  <c r="B174" i="2"/>
  <c r="B170" i="2"/>
  <c r="B169" i="2"/>
  <c r="B168" i="2"/>
  <c r="B163" i="2"/>
  <c r="B155" i="2"/>
  <c r="B154" i="2"/>
  <c r="B153" i="2"/>
  <c r="B152" i="2"/>
  <c r="B150" i="2"/>
  <c r="B156" i="2" s="1"/>
  <c r="B144" i="2"/>
  <c r="B138" i="2"/>
  <c r="B125" i="2"/>
  <c r="B130" i="2" s="1"/>
  <c r="B119" i="2"/>
  <c r="C108" i="2"/>
  <c r="C107" i="2"/>
  <c r="C106" i="2"/>
  <c r="C105" i="2"/>
  <c r="C104" i="2"/>
  <c r="C103" i="2"/>
  <c r="C102" i="2"/>
  <c r="C101" i="2"/>
  <c r="C100" i="2"/>
  <c r="C99" i="2"/>
  <c r="C98" i="2"/>
  <c r="C97" i="2"/>
  <c r="C96" i="2"/>
  <c r="C95" i="2"/>
  <c r="C94" i="2"/>
  <c r="B69" i="2"/>
  <c r="G60" i="2"/>
  <c r="F61" i="2" s="1"/>
  <c r="B58" i="2"/>
  <c r="B59" i="2" s="1"/>
  <c r="B48" i="2"/>
  <c r="B46" i="2"/>
  <c r="B43" i="2"/>
  <c r="B42" i="2"/>
  <c r="B40" i="2"/>
  <c r="I34" i="2"/>
  <c r="H34" i="2"/>
  <c r="G34" i="2"/>
  <c r="J34" i="2" s="1"/>
  <c r="G30" i="2"/>
  <c r="H30" i="2" s="1"/>
  <c r="F30" i="2"/>
  <c r="E30" i="2"/>
  <c r="G85" i="1"/>
  <c r="G86" i="1" s="1"/>
  <c r="B276" i="2" l="1"/>
  <c r="G76" i="1"/>
  <c r="B463" i="2"/>
  <c r="G31" i="1" l="1"/>
  <c r="D21" i="3" s="1"/>
  <c r="D20" i="3"/>
  <c r="D10" i="3" s="1"/>
  <c r="B465" i="2"/>
  <c r="B464" i="2"/>
  <c r="D19" i="3" l="1"/>
  <c r="C10" i="3" s="1"/>
  <c r="D22" i="3" l="1"/>
  <c r="F10"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Ruth</author>
  </authors>
  <commentList>
    <comment ref="C28" authorId="0" shapeId="0" xr:uid="{A11A266B-F58A-4929-A84F-A6C44D3A8DC4}">
      <text>
        <r>
          <rPr>
            <b/>
            <sz val="9"/>
            <color indexed="81"/>
            <rFont val="Tahoma"/>
            <family val="2"/>
          </rPr>
          <t>Ruth:</t>
        </r>
        <r>
          <rPr>
            <sz val="9"/>
            <color indexed="81"/>
            <rFont val="Tahoma"/>
            <family val="2"/>
          </rPr>
          <t xml:space="preserve">
Converted from grams to kilograms
</t>
        </r>
      </text>
    </comment>
    <comment ref="D28" authorId="0" shapeId="0" xr:uid="{57C5825F-5AFB-4D1D-97E1-6D0332CCEE0A}">
      <text>
        <r>
          <rPr>
            <b/>
            <sz val="9"/>
            <color indexed="81"/>
            <rFont val="Tahoma"/>
            <family val="2"/>
          </rPr>
          <t>Ruth:</t>
        </r>
        <r>
          <rPr>
            <sz val="9"/>
            <color indexed="81"/>
            <rFont val="Tahoma"/>
            <family val="2"/>
          </rPr>
          <t xml:space="preserve">
Converted from grams to kilograms
</t>
        </r>
      </text>
    </comment>
    <comment ref="F28" authorId="0" shapeId="0" xr:uid="{EB52658C-4C40-426D-A109-4762ACC970A8}">
      <text>
        <r>
          <rPr>
            <b/>
            <sz val="9"/>
            <color indexed="81"/>
            <rFont val="Tahoma"/>
            <family val="2"/>
          </rPr>
          <t>Ruth:</t>
        </r>
        <r>
          <rPr>
            <sz val="9"/>
            <color indexed="81"/>
            <rFont val="Tahoma"/>
            <family val="2"/>
          </rPr>
          <t xml:space="preserve">
Converted from grams to kilograms
</t>
        </r>
      </text>
    </comment>
    <comment ref="G28" authorId="0" shapeId="0" xr:uid="{D1F1E11E-67D0-43BE-9E32-B8278C738ABB}">
      <text>
        <r>
          <rPr>
            <b/>
            <sz val="9"/>
            <color rgb="FF000000"/>
            <rFont val="Tahoma"/>
            <family val="2"/>
          </rPr>
          <t>Ruth:</t>
        </r>
        <r>
          <rPr>
            <sz val="9"/>
            <color rgb="FF000000"/>
            <rFont val="Tahoma"/>
            <family val="2"/>
          </rPr>
          <t xml:space="preserve">
</t>
        </r>
        <r>
          <rPr>
            <sz val="9"/>
            <color rgb="FF000000"/>
            <rFont val="Tahoma"/>
            <family val="2"/>
          </rPr>
          <t xml:space="preserve">Converted from grams to kilograms
</t>
        </r>
      </text>
    </comment>
  </commentList>
</comments>
</file>

<file path=xl/sharedStrings.xml><?xml version="1.0" encoding="utf-8"?>
<sst xmlns="http://schemas.openxmlformats.org/spreadsheetml/2006/main" count="806" uniqueCount="610">
  <si>
    <t>Number of trees grown over 10 years</t>
  </si>
  <si>
    <t>Home projects cost savings ($/year)</t>
  </si>
  <si>
    <t>Home projects water savings (gallons/year)</t>
  </si>
  <si>
    <t>Home projects carbon savings (lbs/year)</t>
  </si>
  <si>
    <t>TOTAL IMPACT OF ALL YOUR HOME PROJECTS</t>
  </si>
  <si>
    <t>Jump to the top of the page</t>
  </si>
  <si>
    <t>SUMMARY</t>
  </si>
  <si>
    <t>Cost of water at your home ($/gallons)*</t>
  </si>
  <si>
    <t>Cost savings ($/year)</t>
  </si>
  <si>
    <t>Water Savings in your garden (gallons/year)</t>
  </si>
  <si>
    <t>YOUR HOME IMPACT</t>
  </si>
  <si>
    <t>SETUP</t>
  </si>
  <si>
    <t>Tips:</t>
  </si>
  <si>
    <t>Value</t>
  </si>
  <si>
    <t>PROJECT #6</t>
  </si>
  <si>
    <t>Cost savings ($/day)</t>
  </si>
  <si>
    <t>Carbon savings (lbs/year)</t>
  </si>
  <si>
    <t xml:space="preserve">Tips:
</t>
  </si>
  <si>
    <t>Carbon savings (lbs/day)</t>
  </si>
  <si>
    <t>PROJECT #5</t>
  </si>
  <si>
    <t>Total number of people in your household</t>
  </si>
  <si>
    <t>PROJECT #4</t>
  </si>
  <si>
    <t>Number of meals (out of 3) replaced with no meat</t>
  </si>
  <si>
    <t>Number of people in your household</t>
  </si>
  <si>
    <t>Cost savings ($/week)</t>
  </si>
  <si>
    <t>Carbon savings (lbs/week)</t>
  </si>
  <si>
    <t>PROJECT #3</t>
  </si>
  <si>
    <t>Cost savings in a year ($/year)</t>
  </si>
  <si>
    <t>Water savings in a year (gallons/year)</t>
  </si>
  <si>
    <t>PROJECT #2</t>
  </si>
  <si>
    <t>Home size (sqft)</t>
  </si>
  <si>
    <t>PROJECT #1</t>
  </si>
  <si>
    <t xml:space="preserve">INSTRUCTIONS:   </t>
  </si>
  <si>
    <t>HOME PROJECTS</t>
  </si>
  <si>
    <t>Cost of electricity at home ($/kWh)*</t>
  </si>
  <si>
    <t>CONVERSIONS</t>
  </si>
  <si>
    <t>Electricity</t>
  </si>
  <si>
    <t>1 MWh =</t>
  </si>
  <si>
    <t>kWh</t>
  </si>
  <si>
    <t xml:space="preserve">1 kWh = </t>
  </si>
  <si>
    <t>MWh</t>
  </si>
  <si>
    <t xml:space="preserve">1 Watt = </t>
  </si>
  <si>
    <t>KiloWatt</t>
  </si>
  <si>
    <t>Natural Gas</t>
  </si>
  <si>
    <t>1 cubic feet of natural gas =</t>
  </si>
  <si>
    <t>therms (U.S.)</t>
  </si>
  <si>
    <t>Weight</t>
  </si>
  <si>
    <t>1 pound =</t>
  </si>
  <si>
    <t>metric tons</t>
  </si>
  <si>
    <t xml:space="preserve">1 metric ton = </t>
  </si>
  <si>
    <t>pounds</t>
  </si>
  <si>
    <t>1 kilogram =</t>
  </si>
  <si>
    <t>ounces</t>
  </si>
  <si>
    <t>1 gram =</t>
  </si>
  <si>
    <t xml:space="preserve">U.S. short tons </t>
  </si>
  <si>
    <t>Distance</t>
  </si>
  <si>
    <t xml:space="preserve">1 kilometer = </t>
  </si>
  <si>
    <t>miles</t>
  </si>
  <si>
    <t xml:space="preserve">1 mile = </t>
  </si>
  <si>
    <t>kilometers</t>
  </si>
  <si>
    <t>Volume</t>
  </si>
  <si>
    <t xml:space="preserve">1 gallon = </t>
  </si>
  <si>
    <t>cubic yard</t>
  </si>
  <si>
    <t>liters</t>
  </si>
  <si>
    <t xml:space="preserve">1 liter = </t>
  </si>
  <si>
    <t>gallons</t>
  </si>
  <si>
    <t>centum cubic feet (CCF)</t>
  </si>
  <si>
    <t xml:space="preserve"> US gallons</t>
  </si>
  <si>
    <t>SCF = CUBIC FEET</t>
  </si>
  <si>
    <t>ENERGY references</t>
  </si>
  <si>
    <t>Month</t>
  </si>
  <si>
    <t>Units of measurement of the emission factors</t>
  </si>
  <si>
    <t>CO2 Factor (kg/scf)</t>
  </si>
  <si>
    <t>CH4 Factor (kg/scf)</t>
  </si>
  <si>
    <t>N2O Factor (kg/scf)</t>
  </si>
  <si>
    <t>CO2 Factor (lbs./scf)</t>
  </si>
  <si>
    <t>CH4 Factor (lbs./scf)</t>
  </si>
  <si>
    <t>N2O Factor (lbs./scf)</t>
  </si>
  <si>
    <t>CO2e (lbs./scf)</t>
  </si>
  <si>
    <t>Quarter</t>
  </si>
  <si>
    <t>Global Warming Potential</t>
  </si>
  <si>
    <t>Semester</t>
  </si>
  <si>
    <t>Year</t>
  </si>
  <si>
    <t>Electricity emission factors</t>
  </si>
  <si>
    <t>CO2 Factor (lbs./MWh)</t>
  </si>
  <si>
    <t>CH4 Factor (lbs./MWh)</t>
  </si>
  <si>
    <t>N2O Factor (lbs./MWh)</t>
  </si>
  <si>
    <t>CO2 Factor (lbs./KWh)</t>
  </si>
  <si>
    <t>CH4 Factor (lbs./KWh)</t>
  </si>
  <si>
    <t>N2O Factor (lbs./KWh)</t>
  </si>
  <si>
    <t>CO2e Factor (lbs./KWh)</t>
  </si>
  <si>
    <t>NWPP</t>
  </si>
  <si>
    <t>WECC Northwest</t>
  </si>
  <si>
    <t>Source: eGRID 2016, SRL16, Subregion Output Emission Rates, Feb, 2018</t>
  </si>
  <si>
    <t>Average cost of electricity/kWh</t>
  </si>
  <si>
    <t>https://www.eia.gov/electricity/data/browser/#/topic/7?agg=0,1&amp;geo=g00000000001&amp;endsec=vg&amp;linechart=ELEC.PRICE.US-ALL.A&amp;columnchart=ELEC.PRICE.US-ALL.A&amp;map=ELEC.PRICE.US-ALL.A&amp;freq=A&amp;ctype=linechart&amp;ltype=pin&amp;rtype=s&amp;pin=&amp;rse=0&amp;maptype=0</t>
  </si>
  <si>
    <t>Average cost of electricity/Wh</t>
  </si>
  <si>
    <t>Natural gas average price/therm in WA</t>
  </si>
  <si>
    <t>https://www.pse.com/-/media/Project/PSE/Portal/Rate-documents/summ_gas_prices_2020_05_01.pdf</t>
  </si>
  <si>
    <t>Natural gas average price/cubic feet in WA</t>
  </si>
  <si>
    <t>Average number of school days/year in Washington</t>
  </si>
  <si>
    <t>https://nces.ed.gov/programs/statereform/tab5_14.asp</t>
  </si>
  <si>
    <t>Average number of school weeks/year in Washington</t>
  </si>
  <si>
    <t>Minimum amount of instructional times 
per school year</t>
  </si>
  <si>
    <t>Minimum hours of instruction per school day</t>
  </si>
  <si>
    <t>Number of months in a school year</t>
  </si>
  <si>
    <t>Average number of days in a month</t>
  </si>
  <si>
    <t>Equivalences</t>
  </si>
  <si>
    <t>1 pound of Co2e</t>
  </si>
  <si>
    <t>tree seedlings grown for 10 years</t>
  </si>
  <si>
    <t>1 kWh</t>
  </si>
  <si>
    <t>homes' energy use for 1 year</t>
  </si>
  <si>
    <t>Type of lighting</t>
  </si>
  <si>
    <t>Average Watts per classroom</t>
  </si>
  <si>
    <t>Average single lamp Watts</t>
  </si>
  <si>
    <t>Select from the list</t>
  </si>
  <si>
    <t>Incandescent lighting</t>
  </si>
  <si>
    <t>Halogen lighting</t>
  </si>
  <si>
    <t>CFL lighting</t>
  </si>
  <si>
    <t>LED lighting</t>
  </si>
  <si>
    <t>Not sure</t>
  </si>
  <si>
    <t>https://www.currentbyge.com/ideas/cfl-vs-halogen-vs-led</t>
  </si>
  <si>
    <t>https://www.energy.gov/sites/prod/files/2017/10/f37/2017_gateway_tuning-classroom_0.pdf</t>
  </si>
  <si>
    <t>Average electricity consumption of a printer ( in Watts)</t>
  </si>
  <si>
    <t>https://www.energuide.be/en/questions-answers/how-much-power-does-a-computer-use-and-how-much-co2-does-that-represent/54/</t>
  </si>
  <si>
    <t>Average electricity consumption of a desktop computer ( in Watts)</t>
  </si>
  <si>
    <t>Average electricity consumption of a desktop computer in sleep mode( in Watts)</t>
  </si>
  <si>
    <t>Comparable wattage</t>
  </si>
  <si>
    <t>40 W incandescent</t>
  </si>
  <si>
    <t>29 W halogen (40 equivalent)</t>
  </si>
  <si>
    <t>60 W incandescent</t>
  </si>
  <si>
    <t>43 W halogen (60 equivalent)</t>
  </si>
  <si>
    <t>75 W incandescent</t>
  </si>
  <si>
    <t>53 W halogen (75 equivalent)</t>
  </si>
  <si>
    <t>100 W incandescent</t>
  </si>
  <si>
    <t>72 W halogen (100 equivalent)</t>
  </si>
  <si>
    <t>150 W incandescent</t>
  </si>
  <si>
    <t>Corresponding commonly available CFL/LED wattages</t>
  </si>
  <si>
    <t>4.0 W LED</t>
  </si>
  <si>
    <t>6.0 W LED</t>
  </si>
  <si>
    <t>10.0 W LED</t>
  </si>
  <si>
    <t>11.0 W LED</t>
  </si>
  <si>
    <t>40.0 W CFL</t>
  </si>
  <si>
    <t>5.0 W LED</t>
  </si>
  <si>
    <t>7.0 W LED</t>
  </si>
  <si>
    <t>15.0 W LED</t>
  </si>
  <si>
    <t>42.0 W CFL</t>
  </si>
  <si>
    <t>8.5 W LED</t>
  </si>
  <si>
    <t>12.0 W LED</t>
  </si>
  <si>
    <t>16.0 W LED</t>
  </si>
  <si>
    <t>9.0 W LED</t>
  </si>
  <si>
    <t>13.0 W LED</t>
  </si>
  <si>
    <t>17.0 W LED</t>
  </si>
  <si>
    <t>7.0 W CFL</t>
  </si>
  <si>
    <t>9.5 W LED</t>
  </si>
  <si>
    <t>18.0 W CFL</t>
  </si>
  <si>
    <t>18.0 W LED</t>
  </si>
  <si>
    <t>9.0 W CFL</t>
  </si>
  <si>
    <t>19.0 W CFL</t>
  </si>
  <si>
    <t>15.0 W CFL</t>
  </si>
  <si>
    <t>10.0 W CFL</t>
  </si>
  <si>
    <t>10.5 W LED</t>
  </si>
  <si>
    <t>20.0 W CFL</t>
  </si>
  <si>
    <t>23.0 W CFL</t>
  </si>
  <si>
    <t>26.0 W CFL</t>
  </si>
  <si>
    <t>13.0 W CFL</t>
  </si>
  <si>
    <t>14.0 W CFL</t>
  </si>
  <si>
    <t>Lighting type</t>
  </si>
  <si>
    <t>Watts</t>
  </si>
  <si>
    <t>Lighting type &amp; Watts</t>
  </si>
  <si>
    <t>Equivalent LED Watts</t>
  </si>
  <si>
    <t>Incandescent_Lighting</t>
  </si>
  <si>
    <t>light_bulb_calculator_0</t>
  </si>
  <si>
    <t>Saving calculator for ENERGY STAR certified light bulbs</t>
  </si>
  <si>
    <t>Halogen_Lighting</t>
  </si>
  <si>
    <t>CFL_Lighting</t>
  </si>
  <si>
    <t>https://www.usailighting.com/stuff/contentmgr/files/1/92ffeb328de0f4878257999e7d46d6e4/misc/lighting_comparison_chart.pdf</t>
  </si>
  <si>
    <t>Not_sure</t>
  </si>
  <si>
    <t>Select_from_the_list</t>
  </si>
  <si>
    <t xml:space="preserve">Education buildings yearly average natural gas consumption per square foot (cubic feet) </t>
  </si>
  <si>
    <t>U.S. Energy Information Administration, Office of Energy Consumption and Efficiency Statistics, Form EIA-871A of the 2012 Commercial Buildings Energy Consumption Survey.</t>
  </si>
  <si>
    <t>WA State Residential yearly average natural gas consumption per square foot (cubic feet)</t>
  </si>
  <si>
    <t>(nat gas use in WA state for residential sector according to EIA) / (one third of homes in WA that use nat gas according to EIA) * (average residential sq ft in WA State)</t>
  </si>
  <si>
    <t>*higher because this includes appliances, not just heating - couldn't break it out</t>
  </si>
  <si>
    <t>https://www.eia.gov/dnav/ng/ng_cons_sum_dcu_SWA_a.htm</t>
  </si>
  <si>
    <t>https://www.census-charts.com/HF/Washington.html</t>
  </si>
  <si>
    <t>https://www.eia.gov/state/print.php?sid=WA</t>
  </si>
  <si>
    <t>https://www.bobvila.com/slideshow/this-is-the-average-home-size-in-every-state-53461</t>
  </si>
  <si>
    <t>WASTE references</t>
  </si>
  <si>
    <t>Average weight of a 0.5 liter PET water bottle (grams)</t>
  </si>
  <si>
    <t>http://www.petresin.org/news_didyouknow.asp</t>
  </si>
  <si>
    <t>Average weight of a 0.5 liter PET water bottle (lbs.)</t>
  </si>
  <si>
    <t>Average ounce of CO2 emissions per ounce of PET bottle (ounce)</t>
  </si>
  <si>
    <t>https://www.plasticpollutioncoalition.org/pft/2015/11/17/plastic-pollution-and-climate-change</t>
  </si>
  <si>
    <t>Average pounds CO2 emissions per pound of PET bottle (pound)</t>
  </si>
  <si>
    <t>Average Co2 emission per PET water bottle (pound)</t>
  </si>
  <si>
    <t>Average price of a bottle of 0.5 liter water ($)</t>
  </si>
  <si>
    <t>Recommended number of worms to start a worm bin</t>
  </si>
  <si>
    <t>https://composting.ces.ncsu.edu/wp-content/uploads/2017/04/vermicomposting_earthworms_q_a-2017.pdf?fwd=no</t>
  </si>
  <si>
    <t>Weight of 1000 worms (pound)</t>
  </si>
  <si>
    <t>https://unclejimswormfarm.com/how-much-feed-composting-worms/</t>
  </si>
  <si>
    <t>Total weight of matter eaten by a worm bin in a year (lbs.)</t>
  </si>
  <si>
    <t>Sheets per ream:</t>
  </si>
  <si>
    <t>sheets</t>
  </si>
  <si>
    <t>Average cost:</t>
  </si>
  <si>
    <t>per ream</t>
  </si>
  <si>
    <t>https://www.officedepot.com/a/browse/copy-and-multipurpose-paper/N=5+530730&amp;cbxRefine=553630&amp;cbxRefine=722807/</t>
  </si>
  <si>
    <t>Average "weight" of paper:</t>
  </si>
  <si>
    <t>Actual weight per ream:</t>
  </si>
  <si>
    <t>https://www.papersizes.org/weight-of-sheets.htm</t>
  </si>
  <si>
    <t>Standard paper weights are between 75gsm and 100gsm for common business applications</t>
  </si>
  <si>
    <t>http://www.officexpress.co.uk/paper-guide/</t>
  </si>
  <si>
    <t>Reams per box:</t>
  </si>
  <si>
    <t>Paper calculator by the environmental paper network</t>
  </si>
  <si>
    <t>Assumptions</t>
  </si>
  <si>
    <t>Emission Factor, virgin</t>
  </si>
  <si>
    <t>lbsCO2e/ton paper</t>
  </si>
  <si>
    <t>https://c.environmentalpaper.org/individual.html</t>
  </si>
  <si>
    <t>Uncoated Freesheet</t>
  </si>
  <si>
    <t>1 U.S. Short Tons</t>
  </si>
  <si>
    <r>
      <rPr>
        <b/>
        <sz val="8"/>
        <color theme="3" tint="-0.249977111117893"/>
        <rFont val="Calibri"/>
        <family val="2"/>
        <scheme val="minor"/>
      </rPr>
      <t>Emission</t>
    </r>
    <r>
      <rPr>
        <sz val="8"/>
        <color theme="3" tint="-0.249977111117893"/>
        <rFont val="Calibri"/>
        <family val="2"/>
        <scheme val="minor"/>
      </rPr>
      <t xml:space="preserve"> Factor, 30% recycled</t>
    </r>
  </si>
  <si>
    <r>
      <rPr>
        <b/>
        <sz val="8"/>
        <color theme="3" tint="-0.249977111117893"/>
        <rFont val="Calibri"/>
        <family val="2"/>
        <scheme val="minor"/>
      </rPr>
      <t>Emission</t>
    </r>
    <r>
      <rPr>
        <sz val="8"/>
        <color theme="3" tint="-0.249977111117893"/>
        <rFont val="Calibri"/>
        <family val="2"/>
        <scheme val="minor"/>
      </rPr>
      <t xml:space="preserve"> Factor, 50% recycled</t>
    </r>
  </si>
  <si>
    <t>Emission Factor, 100% recycled</t>
  </si>
  <si>
    <t>Emission Factor, x% recycled</t>
  </si>
  <si>
    <t>(slope of the best fit line through two end-points )</t>
  </si>
  <si>
    <t>lbsCO2e/pound paper</t>
  </si>
  <si>
    <r>
      <rPr>
        <b/>
        <sz val="8"/>
        <color theme="3" tint="-0.249977111117893"/>
        <rFont val="Calibri"/>
        <family val="2"/>
        <scheme val="minor"/>
      </rPr>
      <t>Emission</t>
    </r>
    <r>
      <rPr>
        <sz val="8"/>
        <color theme="3" tint="-0.249977111117893"/>
        <rFont val="Calibri"/>
        <family val="2"/>
        <scheme val="minor"/>
      </rPr>
      <t xml:space="preserve"> </t>
    </r>
    <r>
      <rPr>
        <sz val="11"/>
        <color theme="3" tint="-0.249977111117893"/>
        <rFont val="Calibri"/>
        <family val="2"/>
        <scheme val="minor"/>
      </rPr>
      <t>Factor, 30% recycled</t>
    </r>
  </si>
  <si>
    <r>
      <rPr>
        <b/>
        <sz val="8"/>
        <color theme="3" tint="-0.249977111117893"/>
        <rFont val="Calibri"/>
        <family val="2"/>
        <scheme val="minor"/>
      </rPr>
      <t>E</t>
    </r>
    <r>
      <rPr>
        <b/>
        <sz val="11"/>
        <color theme="3" tint="-0.249977111117893"/>
        <rFont val="Calibri"/>
        <family val="2"/>
        <scheme val="minor"/>
      </rPr>
      <t>mission</t>
    </r>
    <r>
      <rPr>
        <sz val="11"/>
        <color theme="3" tint="-0.249977111117893"/>
        <rFont val="Calibri"/>
        <family val="2"/>
        <scheme val="minor"/>
      </rPr>
      <t xml:space="preserve"> Factor, 50% recycled</t>
    </r>
  </si>
  <si>
    <t>Average cost of virgin paper ($/sheet)</t>
  </si>
  <si>
    <t>Based on 'Paper calculation' sheet - calculations based on a sample of Office Depot products available in July 2019</t>
  </si>
  <si>
    <t>Average cost of 100% recycled paper ($/sheet)</t>
  </si>
  <si>
    <t>Disposition mode</t>
  </si>
  <si>
    <t xml:space="preserve">Co2e impact </t>
  </si>
  <si>
    <t>Unit of measurement</t>
  </si>
  <si>
    <t>Waste</t>
  </si>
  <si>
    <t>MTCO2E/Short Ton</t>
  </si>
  <si>
    <t>https://www.epa.gov/sites/production/files/2019-06/documents/warm_v15_management_practices.pdf</t>
  </si>
  <si>
    <t>Exhibit 6-16: Net GHG Emissions from Landfilling (MTCO2E/Short Ton)</t>
  </si>
  <si>
    <t>Recycling</t>
  </si>
  <si>
    <t>Exhibit 2-2: Emission Factor for Recycling (MTCO2E/Short Ton of Material Recovered)</t>
  </si>
  <si>
    <t>Yard/Food waste</t>
  </si>
  <si>
    <t>Exhibit 4-1: Components of the Composting Net Emission Factor for Food Waste, Yard Trimmings, and Mixed Organics</t>
  </si>
  <si>
    <t>lbs. CO2/lbs.</t>
  </si>
  <si>
    <t xml:space="preserve">Cost of 20 gallons of waste ($) </t>
  </si>
  <si>
    <t>http://www.wm.com/location/california/bay_area/castrovalley/commercial/rates.jsp</t>
  </si>
  <si>
    <t>Cost per gallon ($)</t>
  </si>
  <si>
    <t>Mixed MSW - Residential, Institutional, Commercial (Uncompacted)</t>
  </si>
  <si>
    <t>pounds per cubic yard</t>
  </si>
  <si>
    <t>https://www.epa.gov/sites/production/files/2016-04/documents/volume_to_weight_conversion_factors_memorandum_04192016_508fnl.pdf</t>
  </si>
  <si>
    <t>Cost per cubic yard ($/cubic yard)</t>
  </si>
  <si>
    <t>Cost per pound ($/pound)</t>
  </si>
  <si>
    <t>Packaging cost difference between disposable and zero-waste lunch packaging ($/day)</t>
  </si>
  <si>
    <t>https://www.huffpost.com/entry/reusable-waste-free-lunch_b_5634600</t>
  </si>
  <si>
    <t>Milk Dispenser vs Carton</t>
  </si>
  <si>
    <t>Amount of waste per carton (lbs)</t>
  </si>
  <si>
    <t>https://www.waste360.com/mag/waste_profiles_garbage_aseptic</t>
  </si>
  <si>
    <t>Durable trays versus disposable</t>
  </si>
  <si>
    <t>Amount of waste per disposable tray (lbs)</t>
  </si>
  <si>
    <t>https://www.genpak.com/product/school-lunch-trays/</t>
  </si>
  <si>
    <t>Cost of styrofoam tray ($/tray)</t>
  </si>
  <si>
    <t>https://www.webstaurantstore.com/genpak-10500-10-3-8-x-8-3-8-x-1-3-16-5-compartment-white-foam-school-tray-case/37410500%20%20%20%20WHITE.html</t>
  </si>
  <si>
    <t>Cost of durable plate ($/tray)</t>
  </si>
  <si>
    <t>https://www.webstaurantstore.com/carlisle-kl44485-4-compartment-dark-cranberry-melamine-tray-11-x-8-11-16/271KL444GRNT.html</t>
  </si>
  <si>
    <t>Refillable station</t>
  </si>
  <si>
    <t>Waste per bottle (lb)</t>
  </si>
  <si>
    <t>Plastic bag Life Cycle Assessment impact</t>
  </si>
  <si>
    <t>https://www.jeffjournal.org/papers/Volume7/7.1.3Muthu.pdf</t>
  </si>
  <si>
    <t>#of bags</t>
  </si>
  <si>
    <t>Emissions for 520 bags</t>
  </si>
  <si>
    <t>kgs Co2e</t>
  </si>
  <si>
    <t>Emissions for 1 bag</t>
  </si>
  <si>
    <t>pounds Co2e</t>
  </si>
  <si>
    <t>Toner cartridges LCA impact</t>
  </si>
  <si>
    <t>With use phase</t>
  </si>
  <si>
    <t>Variation</t>
  </si>
  <si>
    <t>http://www.remanufacturing.org.uk/pdf/story/1p265.pdf</t>
  </si>
  <si>
    <t>New cartridge</t>
  </si>
  <si>
    <t>kgCO2 e</t>
  </si>
  <si>
    <t>Remanufactured cartridge</t>
  </si>
  <si>
    <t>Without use phase</t>
  </si>
  <si>
    <t>Used for calculations</t>
  </si>
  <si>
    <t xml:space="preserve">Price difference </t>
  </si>
  <si>
    <t>25-30%</t>
  </si>
  <si>
    <t>Average cost of a monochrome cartridge ($)</t>
  </si>
  <si>
    <t>https://www.cartridgeworld.com/how-much-are-printer-ink-and-toner-costing-you/</t>
  </si>
  <si>
    <t>SCHOOL GROUNDS &amp; GARDENS references</t>
  </si>
  <si>
    <t>Moisture in the soil needed (inch)</t>
  </si>
  <si>
    <t>https://pnwisa.org/tree-care/maintenance/providing-water-nutrients/</t>
  </si>
  <si>
    <t>Average water need of a mature tree in the Pacific Northwest (gallon)</t>
  </si>
  <si>
    <t>http://irrigation.wsu.edu/Content/Calculators/Residential/Tree-Water-Management.php</t>
  </si>
  <si>
    <t>Evaporation from silt loam soils</t>
  </si>
  <si>
    <t>inches</t>
  </si>
  <si>
    <t>https://www.ksre.k-state.edu/irrigate/reports/Klocke.pdf</t>
  </si>
  <si>
    <t>Water evaporation</t>
  </si>
  <si>
    <t>Water saving from evaporation when mulch applied</t>
  </si>
  <si>
    <t>https://ucanr.edu/sites/UrbanHort/files/80212.pdf</t>
  </si>
  <si>
    <t>Irrigation period in the PNW - April to October (months)</t>
  </si>
  <si>
    <t>Price of water per CCF ($/CCF)</t>
  </si>
  <si>
    <t>http://www.seattle.gov/utilities/services/rates/water-rates/residential-water-rates</t>
  </si>
  <si>
    <t>Price of water per gallon ($/gallon)</t>
  </si>
  <si>
    <r>
      <t xml:space="preserve">Landscaping's </t>
    </r>
    <r>
      <rPr>
        <sz val="11"/>
        <rFont val="Calibri"/>
        <family val="2"/>
        <scheme val="minor"/>
      </rPr>
      <t>share</t>
    </r>
    <r>
      <rPr>
        <sz val="11"/>
        <color theme="1"/>
        <rFont val="Calibri"/>
        <family val="2"/>
        <scheme val="minor"/>
      </rPr>
      <t xml:space="preserve"> in educational institutions water consumption</t>
    </r>
  </si>
  <si>
    <t>https://19january2017snapshot.epa.gov/www3/watersense/commercial/docs/factsheets/education_fact_sheet_508.pdf</t>
  </si>
  <si>
    <t>Native gardens' water use compared to traditional gardens</t>
  </si>
  <si>
    <t>https://www.theecologycenter.org/6-proven-reasons-to-have-a-native-garden/</t>
  </si>
  <si>
    <t>Average yield of a tomato plant (pounds)</t>
  </si>
  <si>
    <t>https://homeguides.sfgate.com/average-yield-tomato-plant-60969.html</t>
  </si>
  <si>
    <t>Average yield increase thanks to aeroponic systems</t>
  </si>
  <si>
    <t>https://www.towergarden.com/blog.read.html/en/2015/4/5_research-backedbe.html</t>
  </si>
  <si>
    <t>Water requirement of a tomato plant every 5 days (gallon)</t>
  </si>
  <si>
    <t>https://living.thebump.com/many-gallons-water-should-fullsized-tomato-plant-need-week-11140.html</t>
  </si>
  <si>
    <t>Water savings in a aeroponic system</t>
  </si>
  <si>
    <t>https://www.nasa.gov/vision/earth/technologies/aeroponic_plants.html</t>
  </si>
  <si>
    <t>Tomato growing cycle (days)</t>
  </si>
  <si>
    <t>https://homeguides.sfgate.com/long-before-plant-starts-grow-tomatoes-59989.html</t>
  </si>
  <si>
    <t>Full water need of a tomato plants (gallons)</t>
  </si>
  <si>
    <t>Return on investment for vegetables according to a Burpee Seeds study</t>
  </si>
  <si>
    <t>http://www.nbcnews.com/id/29708619/ns/business-personal_finance/t/economy-turns-gardening-growth-industry/#.XRvuOOhKjcs</t>
  </si>
  <si>
    <t>Water savings from raised beds (4x water holding capacity)</t>
  </si>
  <si>
    <t>https://www.groworganic.com/organic-gardening/articles/water-conservation-tips-in-vegetable-gardens</t>
  </si>
  <si>
    <t>One inch of water per week cubic inches</t>
  </si>
  <si>
    <t>https://www.almanac.com/content/when-water-your-vegetable-garden-watering-chart</t>
  </si>
  <si>
    <t>Metric tons CO2e for one urban tree planted</t>
  </si>
  <si>
    <t>https://www.epa.gov/energy/greenhouse-gases-equivalencies-calculator-calculations-and-references</t>
  </si>
  <si>
    <t>HEALTHY SCHOOL BUILDINGS references</t>
  </si>
  <si>
    <t>Maximum % of VOC in cleaning products</t>
  </si>
  <si>
    <t>https://www.govinfo.gov/content/pkg/FR-1998-09-11/pdf/98-22660.pdf</t>
  </si>
  <si>
    <t>Bathroom and tile cleaners: Aerosols</t>
  </si>
  <si>
    <t>https://greencleaningproductsllc.com/consider-vocs-when-going-for-the-best-commercial-cleaning-products/</t>
  </si>
  <si>
    <t>Cost of Pine sol (100 oz)</t>
  </si>
  <si>
    <t>https://www.target.com/p/pine-sol-multi-surface-cleaner-original-100-oz/-/A-12969917</t>
  </si>
  <si>
    <t>Cost of Pine sol (1 oz)</t>
  </si>
  <si>
    <t>Cost of vinegar (128 oz)</t>
  </si>
  <si>
    <t>https://www.target.com/p/white-vinegar-128oz-market-pantry-153/-/A-15295279</t>
  </si>
  <si>
    <t>Cost of vinegar (1 oz)</t>
  </si>
  <si>
    <t>Typical ceilings (feet)</t>
  </si>
  <si>
    <t>Volume of classroom based on classroom size (cubic feet)</t>
  </si>
  <si>
    <t>Sample room size (cubic feet)</t>
  </si>
  <si>
    <t>https://odetoclean.com/blogs/fresh-air/which-cleaning-products-are-polluting-your-home-the-most</t>
  </si>
  <si>
    <t>Sample VOC level (oz)</t>
  </si>
  <si>
    <t>Sample VOC level/cubic feet (oz/cubic feet)</t>
  </si>
  <si>
    <t>Baseline level of VOC in classroom (oz)</t>
  </si>
  <si>
    <t>Idling car uses 7/10 of a gallon of fuel an hour (gallons)</t>
  </si>
  <si>
    <t>https://www.edf.org/attention-drivers-turn-your-idling-engines</t>
  </si>
  <si>
    <t>average fuel efficiency for 2008  (miles/gallon)</t>
  </si>
  <si>
    <t>https://www.bts.gov/content/average-fuel-efficiency-us-passenger-cars-and-light-trucks</t>
  </si>
  <si>
    <t>lbs. CO2e of 1 gallon of fuel (assumed 25.29 mpg)</t>
  </si>
  <si>
    <t>GHG emissions of mobile combustion assuming a gasoline car of model year 2008</t>
  </si>
  <si>
    <t>https://www.epa.gov/sites/production/files/2018-03/documents/emission-factors_mar_2018_0.pdf</t>
  </si>
  <si>
    <t>CO2 kgs</t>
  </si>
  <si>
    <t>N2O grams to kgs</t>
  </si>
  <si>
    <t>CH4 grams to kgs</t>
  </si>
  <si>
    <t>CO2 e saved from non idling car for an hour (lbs.)</t>
  </si>
  <si>
    <t>Cost per gallon of fuel (Aug 2019) in Washington State</t>
  </si>
  <si>
    <t>https://gasprices.aaa.com/?state=WA</t>
  </si>
  <si>
    <t>Waiting time in front of schools/day/car (minutes)</t>
  </si>
  <si>
    <t>Food waste diverted in San Diego school district 2016-2018 (lbs.)</t>
  </si>
  <si>
    <t>https://www.youtube.com/watch?v=RzZ76-KVVOA</t>
  </si>
  <si>
    <t>San Diego Unified - Love Food Not Waste</t>
  </si>
  <si>
    <t>Average food waste diverted per year (lbs.)</t>
  </si>
  <si>
    <t>Number of schools in the San Diego school district</t>
  </si>
  <si>
    <t>Average food waste diverted per year per school (lbs.)</t>
  </si>
  <si>
    <t>Number of students in the school district</t>
  </si>
  <si>
    <t>http://www.ed-data.org/district/San-Diego/San-Diego-Unified</t>
  </si>
  <si>
    <t>Average number of students per school</t>
  </si>
  <si>
    <t>Weight of average lunch waste per student per year (lbs.)</t>
  </si>
  <si>
    <t>CO2 e per kg of consumed beef (kg)</t>
  </si>
  <si>
    <t>http://trophiccascades.forestry.oregonstate.edu/sites/trophic/files/Beans_for_Beef.pdf</t>
  </si>
  <si>
    <t>CO2 e per pound of consumed beef (lbs.)</t>
  </si>
  <si>
    <t>CO2 e per kg of consumed beans (kg)</t>
  </si>
  <si>
    <t>CO2 e per pounds of consumed beans (lbs.)</t>
  </si>
  <si>
    <t>Minimum meat/meat alternate requirement per week for K-5 (oz)</t>
  </si>
  <si>
    <t>https://www.fns.usda.gov/school-meals/certification-compliance-worksheets-5-day-schedule</t>
  </si>
  <si>
    <t>Average meat/meat alternate requirement per day for K-5 (oz)</t>
  </si>
  <si>
    <t>Average meat/meat alternate requirement per day for K-5 (lbs.)</t>
  </si>
  <si>
    <t>Average meat per plate for a family meal (lbs.)</t>
  </si>
  <si>
    <t>Price of ground beef, 100% beef, per lb. in June 2019 ($)</t>
  </si>
  <si>
    <t>https://www.bls.gov/regions/mid-atlantic/data/averageretailfoodandenergyprices_usandmidwest_table.htm</t>
  </si>
  <si>
    <t>Beans, dried, any type, all sizes, per lb. ($)</t>
  </si>
  <si>
    <t>WATER references</t>
  </si>
  <si>
    <t>Volume of water absorbed by a 120 sqft, 3" deep rain garden in a year (gallons)</t>
  </si>
  <si>
    <t>Assuming rainfall conditions in the Puget Sound</t>
  </si>
  <si>
    <t>http://www.12000raingardens.org/about-rain-gardens/benefits/</t>
  </si>
  <si>
    <t>Volume of water absorbed per sqft of  3" deep rain garden in a year (gallons)</t>
  </si>
  <si>
    <t>Volume of water absorbed by a 60 sqft, 6" deep rain garden in a year (gallons)</t>
  </si>
  <si>
    <t>https://ag.umass.edu/landscape/fact-sheets/rain-gardens-way-to-improve-water-quality</t>
  </si>
  <si>
    <t>Volume of water absorbed per sqft of  6" deep rain garden in a year (gallons)</t>
  </si>
  <si>
    <t>copper</t>
  </si>
  <si>
    <t>https://www.asla.org/raingardens.aspx</t>
  </si>
  <si>
    <t>lead</t>
  </si>
  <si>
    <t>zinc</t>
  </si>
  <si>
    <t>nitrogen</t>
  </si>
  <si>
    <t>phosphorus</t>
  </si>
  <si>
    <t>Volume of water used per minute with WaterSense aerators (gallons)</t>
  </si>
  <si>
    <t>https://www.epa.gov/watersense/bathroom-faucets</t>
  </si>
  <si>
    <t>Volume of water used per minute without WaterSense aerators (gallons)</t>
  </si>
  <si>
    <t>Recommended time for a handwash (minutes)</t>
  </si>
  <si>
    <t>Average number of handwashes per day per student (based on the average number of flushes)</t>
  </si>
  <si>
    <t>https://www.thepennyhoarder.com/save-money/how-to-save-water-and-money-with-your-toilet/</t>
  </si>
  <si>
    <t>Volume of water saved by fixing a leaking toilet in a month (gallons)</t>
  </si>
  <si>
    <t>https://www.chandleraz.gov/residents/water/water-conservation/education-and-resources/indoor-water-conservation-tips?pageid=710</t>
  </si>
  <si>
    <t>Volume of water saved by fixing a leaking faucet in a year (gallons)</t>
  </si>
  <si>
    <t>Assuming one drip per second</t>
  </si>
  <si>
    <t>https://www.epa.gov/watersense/fix-leak-week</t>
  </si>
  <si>
    <t>Volume of water saved by fixing a leaking shower in a year (gallons)</t>
  </si>
  <si>
    <t>Assuming 10 drips per minute</t>
  </si>
  <si>
    <t>Volume of water saved by fixing a leaking irrigation system in a month (gallons)</t>
  </si>
  <si>
    <t>Assuming a leak as small as 1/32 inch in diameter</t>
  </si>
  <si>
    <t>https://www.watercalculator.org/save-water/outdoor-water-leaks/</t>
  </si>
  <si>
    <t>Volume of water saved by fixing a leaking toilet in a day (gallons)</t>
  </si>
  <si>
    <t>Volume of water saved by fixing a leaking faucet in a day (gallons)</t>
  </si>
  <si>
    <t>Volume of water saved by fixing a leaking shower in a day (gallons)</t>
  </si>
  <si>
    <t>Volume of water saved by fixing a leaking irrigation system in a day (gallons)</t>
  </si>
  <si>
    <t xml:space="preserve">Volume of water saved per flush with a fill cycle diverter (gallons) </t>
  </si>
  <si>
    <t>Volume of water saved per flush with a tank bank (gallons)</t>
  </si>
  <si>
    <t>Average number of flushes per day per person at school or work</t>
  </si>
  <si>
    <t>Gallons used per person, per day to brush teeth (faucet running)</t>
  </si>
  <si>
    <t>https://blog.epa.gov/2014/04/23/earth-month-tip-turn-off-the-tap/</t>
  </si>
  <si>
    <t>Gallons saved per person, per day by turning off faucet while brushing teeth</t>
  </si>
  <si>
    <t>https://www.currentresults.com/Weather/Washington/average-yearly-precipitation.php</t>
  </si>
  <si>
    <t>Place</t>
  </si>
  <si>
    <t>Days</t>
  </si>
  <si>
    <t>Inches</t>
  </si>
  <si>
    <t>Average precipitation per rainy day</t>
  </si>
  <si>
    <t>Aberdeen</t>
  </si>
  <si>
    <t>Anacortes</t>
  </si>
  <si>
    <t>Baker Lake Dam</t>
  </si>
  <si>
    <t>Baring</t>
  </si>
  <si>
    <t>Bellingham</t>
  </si>
  <si>
    <t>Boundary Dam</t>
  </si>
  <si>
    <t>Bremerton</t>
  </si>
  <si>
    <t>Chelan</t>
  </si>
  <si>
    <t>Clearwater</t>
  </si>
  <si>
    <t>Coulee Dam</t>
  </si>
  <si>
    <t>Darrington</t>
  </si>
  <si>
    <t>Everett</t>
  </si>
  <si>
    <t>Forks</t>
  </si>
  <si>
    <t>Friday Harbor, San Juan Island</t>
  </si>
  <si>
    <t>Grayland</t>
  </si>
  <si>
    <t>Kennewick</t>
  </si>
  <si>
    <t>Leavenworth</t>
  </si>
  <si>
    <t>Long Beach</t>
  </si>
  <si>
    <t>Longview</t>
  </si>
  <si>
    <t>Mt Adams Ranger Station</t>
  </si>
  <si>
    <t>Mt Rainier Paradise Ranger Station</t>
  </si>
  <si>
    <t>Mud Mountain Lake Dam</t>
  </si>
  <si>
    <t>Olga, Orcas Island</t>
  </si>
  <si>
    <t>Olympia</t>
  </si>
  <si>
    <t>Port Angeles</t>
  </si>
  <si>
    <t>Port Townsend</t>
  </si>
  <si>
    <t>Pullman</t>
  </si>
  <si>
    <t>Ross Dam</t>
  </si>
  <si>
    <t>Seattle</t>
  </si>
  <si>
    <t>Spokane</t>
  </si>
  <si>
    <t>Stampede Pass</t>
  </si>
  <si>
    <t>Tacoma</t>
  </si>
  <si>
    <t>Vancouver</t>
  </si>
  <si>
    <t>Walla Walla</t>
  </si>
  <si>
    <t>Wenatchee</t>
  </si>
  <si>
    <t>Winthrop</t>
  </si>
  <si>
    <t>Yakima</t>
  </si>
  <si>
    <t>Rainfall needed to fill in a 55 gallons rain barrel (inch)</t>
  </si>
  <si>
    <t>Water collected in a rain barrel per 1 inch of rainwater (gallons)</t>
  </si>
  <si>
    <t>Volume of a common bathtub (gallons)</t>
  </si>
  <si>
    <t>https://www.badeloftusa.com/ideas/how-much-does-bathtub-hold/</t>
  </si>
  <si>
    <t>TRANSPORTATION references</t>
  </si>
  <si>
    <t>Distance from school</t>
  </si>
  <si>
    <t>&lt; 1 mile</t>
  </si>
  <si>
    <t>1 - 2 miles</t>
  </si>
  <si>
    <t>2 - 5 miles</t>
  </si>
  <si>
    <t>&gt; 5 miles</t>
  </si>
  <si>
    <t>https://wsdot.wa.gov/sites/default/files/2009/01/09/ATP_WA-2016-Student-Travel-Survey-Report.pdf</t>
  </si>
  <si>
    <t>Average distance that students in Washington travel to school (miles)</t>
  </si>
  <si>
    <t>Cost per gallon of gasoline (Aug 2019) in Washington State</t>
  </si>
  <si>
    <t>Cost per gallon of diesel (Aug 2019) in Washington State</t>
  </si>
  <si>
    <t>Average fuel consumption (mpg)</t>
  </si>
  <si>
    <t>GHG</t>
  </si>
  <si>
    <t>N2O kgs</t>
  </si>
  <si>
    <t>CH4 kgs</t>
  </si>
  <si>
    <t>Emission factor</t>
  </si>
  <si>
    <t>SCHOOL BUS</t>
  </si>
  <si>
    <t>Average miles travelled per year by a school bus</t>
  </si>
  <si>
    <t>https://www.schoolbusfleet.com/article/611951/why-miles-matter</t>
  </si>
  <si>
    <t>Average MPG for school buses</t>
  </si>
  <si>
    <t>https://afdc.energy.gov/data/10310</t>
  </si>
  <si>
    <t>Average gallons/year</t>
  </si>
  <si>
    <t>lbs. CO2e of 1 gallon of fuel (assumed 6.33 mpg)</t>
  </si>
  <si>
    <t>HYBRID SCHOOL BUS</t>
  </si>
  <si>
    <t>MPG improvement thanks to hybrid buses</t>
  </si>
  <si>
    <t>https://www.lowcvp.org.uk/Hubs/leb/LEBTechnologies/leb-hybrid.htm</t>
  </si>
  <si>
    <t>Average MPG for hybrid school buses</t>
  </si>
  <si>
    <t>lbs. CO2e of 1 gallon of fuel (assumed 8.23 mpg)</t>
  </si>
  <si>
    <t>lbs. CO2e of 1 gallon of fuel (assumed mpg provided by school in Transportation D51)</t>
  </si>
  <si>
    <t xml:space="preserve">GHG emissions of mobile combustion assuming diesel </t>
  </si>
  <si>
    <t>CAR</t>
  </si>
  <si>
    <t>Average miles travelled by cars</t>
  </si>
  <si>
    <t>https://afdc.energy.gov/data/10309</t>
  </si>
  <si>
    <t>HYBRID CAR</t>
  </si>
  <si>
    <t>MPG of a new hybrid model</t>
  </si>
  <si>
    <t>https://www.fueleconomy.gov/feg/PowerSearch.do?action=noform&amp;path=3&amp;year1=2017&amp;year2=2018&amp;vtype=Hybrid&amp;srchtyp=newAfv&amp;pageno=1&amp;sortBy=Comb&amp;tabView=0&amp;rowLimit=10</t>
  </si>
  <si>
    <t>lbs. CO2e of 1 gallon of fuel (assumed 50 mpg)</t>
  </si>
  <si>
    <t>Energy savings (kWh)</t>
  </si>
  <si>
    <t>Switch to natural cleaners</t>
  </si>
  <si>
    <t>Avoided VOCs (oz)</t>
  </si>
  <si>
    <t>Cost savings ($)</t>
  </si>
  <si>
    <t>VOC Definition</t>
  </si>
  <si>
    <t>Average one-way distance (miles)*</t>
  </si>
  <si>
    <t>Carbon savings if you did this activity every day (lbs/year)</t>
  </si>
  <si>
    <t>Cost savings if you did this activity every day ($/year)</t>
  </si>
  <si>
    <t>Amount of VOCs avoided (oz)</t>
  </si>
  <si>
    <t>Cost of water at your home ($/gallons)**</t>
  </si>
  <si>
    <t>Cost savings in a year if everyone in your household did the same ($/year)</t>
  </si>
  <si>
    <t>Water savings in a year if everyone in your household did the same (gallons/year)</t>
  </si>
  <si>
    <t>Water savings (cu. Inch)</t>
  </si>
  <si>
    <t>Typical water per year (cu. inch)</t>
  </si>
  <si>
    <t>Organic soil water per year (cu. inch)</t>
  </si>
  <si>
    <t>GLOSSARY</t>
  </si>
  <si>
    <t>Term</t>
  </si>
  <si>
    <t>Definition</t>
  </si>
  <si>
    <t>General terms</t>
  </si>
  <si>
    <t>Greenhouse gas</t>
  </si>
  <si>
    <t>Gases that trap heat in the atmosphere are called greenhouse gases. Some examples include: Carbon dioxide (CO2), Methane (CH4), Nitrous oxide (N2O), Fluorinated gases.</t>
  </si>
  <si>
    <t>Carbon</t>
  </si>
  <si>
    <t>Abbreviation used in this tool to represent Carbon Dioxide equivalency emissions, which includes the carbon impacts of CO2, CH4 and N2O emissions in one unit.</t>
  </si>
  <si>
    <t>Tree seedlings</t>
  </si>
  <si>
    <t>A medium growth coniferous or deciduous tree, planted in an urban setting and allowed to grow for 10 years. For a detailed definition please see: 
https://www.epa.gov/energy/greenhouse-gases-equivalencies-calculator-calculations-and-references#seedlings</t>
  </si>
  <si>
    <t>EPA</t>
  </si>
  <si>
    <t>United States Environmental Protection Agency</t>
  </si>
  <si>
    <t>VOCs</t>
  </si>
  <si>
    <t>Volatile Organic Compounds: Vapors or gases released from consumer products including: paints and thinners, adhesives, glues, air fresheners, copy machines, pesticides.</t>
  </si>
  <si>
    <t>Home Projects Resources</t>
  </si>
  <si>
    <t>Adjusting the thermostat</t>
  </si>
  <si>
    <t>http://www.greeneducationfoundation.org/institute/lesson-clearinghouse/357-Make-Reminder-Plates-for-Light-Switches-and-Thermostats</t>
  </si>
  <si>
    <t>https://www.ecomall.com/greenshopping/20things.htm</t>
  </si>
  <si>
    <t>https://www.ngridenergyworld.com/activities/66102_energy_tip_cards/index.html</t>
  </si>
  <si>
    <t xml:space="preserve">https://www.energy.gov/eere/femp/home-energy-checklist </t>
  </si>
  <si>
    <t>Conserving water while brushing</t>
  </si>
  <si>
    <t xml:space="preserve">https://www.watercalculator.org/resource/teaching-conservation-with-water-footprint-calculator/ </t>
  </si>
  <si>
    <t xml:space="preserve">https://ecorise.org/wp-content/uploads/2020/03/7_8_Wtr_M1_L1_Personal-Water-EcoAudit.pdf </t>
  </si>
  <si>
    <t>https://www.epa.gov/watersense/watersense-kids</t>
  </si>
  <si>
    <t>Meatless Mondays</t>
  </si>
  <si>
    <t>https://www.mondaycampaigns.org/meatless-monday/package/meatless-monday-activities-for-kids-of-all-ages-environment</t>
  </si>
  <si>
    <t>http://www.humanesociety.org/sites/default/files/archive/assets/pdfs/farm/meatless-monday-toolkit-for.pdf</t>
  </si>
  <si>
    <t>Using natural cleaners</t>
  </si>
  <si>
    <t>https://wellnessmama.com/6244/natural-cleaning/</t>
  </si>
  <si>
    <t>Biking instead of driving</t>
  </si>
  <si>
    <t>https://www.safekids.org/bike</t>
  </si>
  <si>
    <t>Planting raised garden beds</t>
  </si>
  <si>
    <t xml:space="preserve">https://drive.google.com/file/d/1c7ugyxoMDBaXoXlchpgr55M11owe3epy/view </t>
  </si>
  <si>
    <t xml:space="preserve">https://kidsgardening.wpengine.com/wp-content/uploads/2016/03/KG_designingaschoolgarden-raisedbeds101.pdf </t>
  </si>
  <si>
    <t xml:space="preserve">https://kidsgardening.org/garden-activities/ </t>
  </si>
  <si>
    <t>Total cubic inches</t>
  </si>
  <si>
    <t>https://www.nahbclassic.org/fileUpload_details.aspx?contentTypeID=3&amp;contentID=237901&amp;subContentID=623070</t>
  </si>
  <si>
    <t>kWhs per square foot to heat a home per year</t>
  </si>
  <si>
    <r>
      <t>Average electricity consumption for heating</t>
    </r>
    <r>
      <rPr>
        <sz val="11"/>
        <rFont val="Calibri"/>
        <family val="2"/>
        <scheme val="minor"/>
      </rPr>
      <t xml:space="preserve"> (kWh/sqft/year)</t>
    </r>
  </si>
  <si>
    <t>Home electricity consumption for heating (total kWh/year)</t>
  </si>
  <si>
    <t xml:space="preserve">Enter Your Name Here: </t>
  </si>
  <si>
    <t>Water savings in a day (gallons)</t>
  </si>
  <si>
    <t>Cost savings in a day ($)</t>
  </si>
  <si>
    <r>
      <t>Degrees your thermostat was turned down</t>
    </r>
    <r>
      <rPr>
        <sz val="11"/>
        <rFont val="Calibri"/>
        <family val="2"/>
        <scheme val="minor"/>
      </rPr>
      <t xml:space="preserve"> </t>
    </r>
    <r>
      <rPr>
        <i/>
        <sz val="11"/>
        <rFont val="Calibri"/>
        <family val="2"/>
        <scheme val="minor"/>
      </rPr>
      <t xml:space="preserve">(example: if you turned your thermostat down from 70 to 68 degrees, enter </t>
    </r>
    <r>
      <rPr>
        <b/>
        <i/>
        <u/>
        <sz val="11"/>
        <rFont val="Calibri"/>
        <family val="2"/>
        <scheme val="minor"/>
      </rPr>
      <t>2</t>
    </r>
    <r>
      <rPr>
        <i/>
        <sz val="11"/>
        <rFont val="Calibri"/>
        <family val="2"/>
        <scheme val="minor"/>
      </rPr>
      <t>)</t>
    </r>
  </si>
  <si>
    <t>Replacing meat in your diet helps to reduce your personal footprint. Try doing "Meatless Monday" to help you remember to not eat meat on Mondays!</t>
  </si>
  <si>
    <t>Avoid meat in your diet for one day</t>
  </si>
  <si>
    <t>Learn to make DIY natural cleaning products out of vinegar + water to clean your bathroom and kitchen surfaces. These alternatives are great for replacing harsh All-Purpose cleaners.</t>
  </si>
  <si>
    <t>Bike or walk instead of drive</t>
  </si>
  <si>
    <t>Think about activities you do in the car that you could instead do on a bike or by walking, such as going to a friends house or the grocery store.</t>
  </si>
  <si>
    <t>Plant raised garden beds or container gardens</t>
  </si>
  <si>
    <t>Number of raised garden beds or container gardens</t>
  </si>
  <si>
    <t>Total amount of natural cleaner mixed for cleaning bathroom and kitchen surfaces (oz)</t>
  </si>
  <si>
    <t>*The average 4x6x1 garden bed = 41,500 cubic inches. If you don't know the size of your garden bed, the tool will use this average.
** Check with your water company to discover the cost of water in your home.
**If you don't know the cost of water at your home, leave Cell D70 blank. The tool will use the average cost of water in Seattle.</t>
  </si>
  <si>
    <t>Average cubic inch of your garden bed/container garden*</t>
  </si>
  <si>
    <t>Average cubic inches of a raised garden bed</t>
  </si>
  <si>
    <t>Average size of an average 2 bedroom home (sq ft)</t>
  </si>
  <si>
    <t>Adjust your thermostat by turning down the heat for 24 hrs</t>
  </si>
  <si>
    <t>Turn off the water during daily activities</t>
  </si>
  <si>
    <t>More than 65% of homes in WA State are heated by electricity.
  An average apartment = 800 sq ft
  An average 1-2 bedroom house = 1,200 sq ft
  An average 3-4 bedroom house = 2,000 sq ft
If you leave cell D16 blank, the tool will use an average sq ft for an average home. 
* Check with your energy company to discover the cost of electricity in your home.
* If you don't know the cost of electricity per kWh, leave Cell D18 blank. The tool will use the average cost of electricity in Washington state in this case.</t>
  </si>
  <si>
    <t>Number of household members who chose an activity to bike/walk to instead of driving</t>
  </si>
  <si>
    <t>PROJECT #7</t>
  </si>
  <si>
    <t>https://sustainability.ncsu.edu/blog/changeyourstate/6-times-you-should-turn-off-the-tap-to-save-water/</t>
  </si>
  <si>
    <t>Average number of minutes spent washing dishes</t>
  </si>
  <si>
    <t>Volume of water used per second without WaterSense aerators (gallons)</t>
  </si>
  <si>
    <t>Total seconds water was turned off</t>
  </si>
  <si>
    <t>Avg seconds spent brushing teeth</t>
  </si>
  <si>
    <t>Avg seconds spent washing hands</t>
  </si>
  <si>
    <t>Avg seconds spent washing dishes</t>
  </si>
  <si>
    <t>Divert waste from the garbage bin</t>
  </si>
  <si>
    <t>Average size of residential garbage bin (gallons)</t>
  </si>
  <si>
    <t>http://wmnorthwest.com/comguidelines/containeroptions.htm</t>
  </si>
  <si>
    <t>http://wmnorthwest.com/nkingcounty/service.html</t>
  </si>
  <si>
    <t>Average weekly cost of 35 gallon garbage bin</t>
  </si>
  <si>
    <t>Total volume of garbage bin (gallons)*</t>
  </si>
  <si>
    <t>Carbon avoided by recycling/composting (lbs/week)</t>
  </si>
  <si>
    <t>Carbon avoided by recycling/composting (lbs/year)</t>
  </si>
  <si>
    <t>Recycle</t>
  </si>
  <si>
    <t>Compost</t>
  </si>
  <si>
    <r>
      <t xml:space="preserve">Of the waste you diverted from the garbage, was most of it recycled or composted?** </t>
    </r>
    <r>
      <rPr>
        <i/>
        <sz val="11"/>
        <color theme="1"/>
        <rFont val="Calibri"/>
        <family val="2"/>
        <scheme val="minor"/>
      </rPr>
      <t>Choose from the dropdown</t>
    </r>
  </si>
  <si>
    <r>
      <t xml:space="preserve">How full was the bin on pickup day before this project? </t>
    </r>
    <r>
      <rPr>
        <i/>
        <sz val="11"/>
        <color theme="1"/>
        <rFont val="Calibri"/>
        <family val="2"/>
        <scheme val="minor"/>
      </rPr>
      <t>Enter %</t>
    </r>
  </si>
  <si>
    <r>
      <t xml:space="preserve">How full is the bin on pickup day now, after you've diverted waste? </t>
    </r>
    <r>
      <rPr>
        <i/>
        <sz val="11"/>
        <color theme="1"/>
        <rFont val="Calibri"/>
        <family val="2"/>
        <scheme val="minor"/>
      </rPr>
      <t>Enter %</t>
    </r>
  </si>
  <si>
    <t>Total waste diverted each week (converted to lbs)</t>
  </si>
  <si>
    <t>Garbage: conversion from gallons to pounds</t>
  </si>
  <si>
    <t>cubic yard to pounds</t>
  </si>
  <si>
    <t>https://archive.epa.gov/wastes/conserve/tools/rogo/web/pdf/volume-weight-conversions.pdf</t>
  </si>
  <si>
    <t>Brushing Teeth: Number of seconds water is turned off while brushing your teeth (in a day)</t>
  </si>
  <si>
    <t>Washing Hands: Number of seconds water is turned off while washing hands (in a day)</t>
  </si>
  <si>
    <t>Washing Dishes: Number of seconds water is turned off while washing dishes (in a day)</t>
  </si>
  <si>
    <t>*Brushing Teeth: The avg person brushes their teeth for two minutes twice a day (240 sec total)
*Washing Hands: The avg person washes their hands for 20 seconds, 9 times a day (180 sec total)
*Washing Dishes: The avg person hand washes dishes for 9 mins every day (540 sec total)
**Check with your water company to discover the cost of water in your home.
**If you don't know the cost of water at your home, leave Cell D31 blank. The tool will use the average cost of water in Seattle.</t>
  </si>
  <si>
    <t>*The average bin size for a 2-4 person home is 35 gallons. You can usually find the bin size on your garbage container, or by looking at your garbage service bill. If you don't know the size of your bin, leave Cell D43 blank. The tool will use an average size.
**If you recycled and composted, just choose the one that you did the most of.
***Check with your local recycling and composting guides to see what options are available to you in the region where you live.</t>
  </si>
  <si>
    <r>
      <rPr>
        <b/>
        <sz val="11"/>
        <color rgb="FF434B68"/>
        <rFont val="Calibri"/>
        <family val="2"/>
        <scheme val="minor"/>
      </rPr>
      <t>HOME PROJECTS:</t>
    </r>
    <r>
      <rPr>
        <sz val="11"/>
        <color theme="1"/>
        <rFont val="Calibri"/>
        <family val="2"/>
        <scheme val="minor"/>
      </rPr>
      <t xml:space="preserve"> Many carbon-reducing projects that you do at school can also be done in your home to reduce your energy, water, and waste footprint. Below are several examples of how you might apply these actions in your home. </t>
    </r>
  </si>
  <si>
    <r>
      <rPr>
        <b/>
        <sz val="11"/>
        <color rgb="FF434B68"/>
        <rFont val="Calibri"/>
        <family val="2"/>
        <scheme val="minor"/>
      </rPr>
      <t>DATA ENTRY:</t>
    </r>
    <r>
      <rPr>
        <sz val="11"/>
        <color rgb="FF434B68"/>
        <rFont val="Calibri"/>
        <family val="2"/>
        <scheme val="minor"/>
      </rPr>
      <t xml:space="preserve"> </t>
    </r>
    <r>
      <rPr>
        <sz val="11"/>
        <color theme="1"/>
        <rFont val="Calibri"/>
        <family val="2"/>
        <scheme val="minor"/>
      </rPr>
      <t xml:space="preserve">Please </t>
    </r>
    <r>
      <rPr>
        <b/>
        <sz val="11"/>
        <color theme="1"/>
        <rFont val="Calibri"/>
        <family val="2"/>
        <scheme val="minor"/>
      </rPr>
      <t>fill in only the blue cells</t>
    </r>
    <r>
      <rPr>
        <sz val="11"/>
        <color theme="1"/>
        <rFont val="Calibri"/>
        <family val="2"/>
        <scheme val="minor"/>
      </rPr>
      <t xml:space="preserve"> within each project. Some blue cells are optional, use the tips in Column A to guide you.</t>
    </r>
  </si>
  <si>
    <r>
      <rPr>
        <b/>
        <sz val="11"/>
        <color rgb="FF434B68"/>
        <rFont val="Calibri"/>
        <family val="2"/>
        <scheme val="minor"/>
      </rPr>
      <t xml:space="preserve">SUMMARY: </t>
    </r>
    <r>
      <rPr>
        <sz val="11"/>
        <rFont val="Calibri"/>
        <family val="2"/>
        <scheme val="minor"/>
      </rPr>
      <t xml:space="preserve">On the Results Summary tab, </t>
    </r>
    <r>
      <rPr>
        <sz val="11"/>
        <color theme="1"/>
        <rFont val="Calibri"/>
        <family val="2"/>
        <scheme val="minor"/>
      </rPr>
      <t>you'll find a summary of all your project impacts.</t>
    </r>
  </si>
  <si>
    <r>
      <rPr>
        <b/>
        <sz val="11"/>
        <color rgb="FF434B68"/>
        <rFont val="Calibri"/>
        <family val="2"/>
        <scheme val="minor"/>
      </rPr>
      <t>PROJECT RESET:</t>
    </r>
    <r>
      <rPr>
        <sz val="11"/>
        <color rgb="FF434B68"/>
        <rFont val="Calibri"/>
        <family val="2"/>
        <scheme val="minor"/>
      </rPr>
      <t xml:space="preserve">  </t>
    </r>
    <r>
      <rPr>
        <sz val="11"/>
        <color theme="1"/>
        <rFont val="Calibri"/>
        <family val="2"/>
        <scheme val="minor"/>
      </rPr>
      <t xml:space="preserve">To reset a project back to zero, select all blue cells within the project, right click and click on the 'Clear contents' selection. </t>
    </r>
  </si>
  <si>
    <t>Copyright 2021 EarthGen.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</si>
</sst>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_(* #,##0_);_(* \(#,##0\);_(* &quot;-&quot;??_);_(@_)"/>
    <numFmt numFmtId="165" formatCode="_(* #,##0.0_);_(* \(#,##0.0\);_(* &quot;-&quot;??_);_(@_)"/>
    <numFmt numFmtId="166" formatCode="0.0000"/>
    <numFmt numFmtId="167" formatCode="#,##0.000"/>
    <numFmt numFmtId="168" formatCode="#,##0.00000"/>
    <numFmt numFmtId="169" formatCode="_(* #,##0.000000000_);_(* \(#,##0.000000000\);_(* &quot;-&quot;??_);_(@_)"/>
    <numFmt numFmtId="170" formatCode="0.0"/>
    <numFmt numFmtId="171" formatCode="0.000"/>
  </numFmts>
  <fonts count="4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rgb="FFFDB933"/>
      <name val="Calibri"/>
      <family val="2"/>
      <scheme val="minor"/>
    </font>
    <font>
      <b/>
      <sz val="14"/>
      <color rgb="FF008041"/>
      <name val="Calibri"/>
      <family val="2"/>
      <scheme val="minor"/>
    </font>
    <font>
      <b/>
      <sz val="16"/>
      <color rgb="FF80C342"/>
      <name val="Calibri"/>
      <family val="2"/>
      <scheme val="minor"/>
    </font>
    <font>
      <u/>
      <sz val="11"/>
      <color theme="10"/>
      <name val="Calibri"/>
      <family val="2"/>
      <scheme val="minor"/>
    </font>
    <font>
      <sz val="20"/>
      <color theme="0"/>
      <name val="Calibri"/>
      <family val="2"/>
      <scheme val="minor"/>
    </font>
    <font>
      <sz val="11"/>
      <color rgb="FF538135"/>
      <name val="Arial"/>
      <family val="2"/>
    </font>
    <font>
      <sz val="11"/>
      <color theme="1"/>
      <name val="Arial"/>
      <family val="2"/>
    </font>
    <font>
      <b/>
      <sz val="11"/>
      <color theme="1"/>
      <name val="Calibri Light"/>
      <family val="2"/>
    </font>
    <font>
      <i/>
      <sz val="11"/>
      <color theme="1"/>
      <name val="Calibri"/>
      <family val="2"/>
      <scheme val="minor"/>
    </font>
    <font>
      <sz val="11"/>
      <color theme="1"/>
      <name val="Symbol"/>
      <family val="1"/>
      <charset val="2"/>
    </font>
    <font>
      <b/>
      <sz val="14"/>
      <color theme="0"/>
      <name val="Calibri"/>
      <family val="2"/>
      <scheme val="minor"/>
    </font>
    <font>
      <sz val="9"/>
      <color theme="1" tint="0.34998626667073579"/>
      <name val="Calibri"/>
      <family val="2"/>
      <scheme val="minor"/>
    </font>
    <font>
      <b/>
      <sz val="9"/>
      <color indexed="81"/>
      <name val="Tahoma"/>
      <family val="2"/>
    </font>
    <font>
      <sz val="9"/>
      <color indexed="81"/>
      <name val="Tahoma"/>
      <family val="2"/>
    </font>
    <font>
      <b/>
      <sz val="10"/>
      <color theme="1"/>
      <name val="Calibri"/>
      <family val="2"/>
      <scheme val="minor"/>
    </font>
    <font>
      <sz val="10"/>
      <name val="Arial"/>
      <family val="2"/>
    </font>
    <font>
      <b/>
      <sz val="9"/>
      <name val="Calibri"/>
      <family val="2"/>
      <scheme val="minor"/>
    </font>
    <font>
      <sz val="9"/>
      <name val="Calibri"/>
      <family val="2"/>
      <scheme val="minor"/>
    </font>
    <font>
      <sz val="10"/>
      <color rgb="FF000000"/>
      <name val="Calibri"/>
      <family val="2"/>
      <scheme val="minor"/>
    </font>
    <font>
      <sz val="12"/>
      <color rgb="FF535353"/>
      <name val="Calibri"/>
      <family val="2"/>
      <scheme val="minor"/>
    </font>
    <font>
      <sz val="8"/>
      <color theme="3" tint="-0.249977111117893"/>
      <name val="Calibri"/>
      <family val="2"/>
      <scheme val="minor"/>
    </font>
    <font>
      <sz val="10"/>
      <color theme="3" tint="-0.249977111117893"/>
      <name val="Calibri"/>
      <family val="2"/>
      <scheme val="minor"/>
    </font>
    <font>
      <u/>
      <sz val="8"/>
      <color theme="10"/>
      <name val="Calibri"/>
      <family val="2"/>
      <scheme val="minor"/>
    </font>
    <font>
      <b/>
      <sz val="8"/>
      <color theme="3" tint="-0.249977111117893"/>
      <name val="Calibri"/>
      <family val="2"/>
      <scheme val="minor"/>
    </font>
    <font>
      <sz val="11"/>
      <color theme="3" tint="-0.249977111117893"/>
      <name val="Calibri"/>
      <family val="2"/>
      <scheme val="minor"/>
    </font>
    <font>
      <b/>
      <sz val="11"/>
      <color theme="3" tint="-0.249977111117893"/>
      <name val="Calibri"/>
      <family val="2"/>
      <scheme val="minor"/>
    </font>
    <font>
      <sz val="11"/>
      <name val="Calibri"/>
      <family val="2"/>
      <scheme val="minor"/>
    </font>
    <font>
      <b/>
      <sz val="9"/>
      <color rgb="FF000000"/>
      <name val="Tahoma"/>
      <family val="2"/>
    </font>
    <font>
      <sz val="9"/>
      <color rgb="FF000000"/>
      <name val="Tahoma"/>
      <family val="2"/>
    </font>
    <font>
      <b/>
      <sz val="16"/>
      <color theme="0"/>
      <name val="Calibri"/>
      <family val="2"/>
      <scheme val="minor"/>
    </font>
    <font>
      <b/>
      <sz val="11"/>
      <color rgb="FF26583A"/>
      <name val="Calibri"/>
      <family val="2"/>
      <scheme val="minor"/>
    </font>
    <font>
      <i/>
      <sz val="11"/>
      <name val="Calibri"/>
      <family val="2"/>
      <scheme val="minor"/>
    </font>
    <font>
      <i/>
      <sz val="11"/>
      <color theme="0"/>
      <name val="Calibri"/>
      <family val="2"/>
      <scheme val="minor"/>
    </font>
    <font>
      <u/>
      <sz val="11"/>
      <color theme="0"/>
      <name val="Calibri"/>
      <family val="2"/>
      <scheme val="minor"/>
    </font>
    <font>
      <b/>
      <i/>
      <u/>
      <sz val="11"/>
      <name val="Calibri"/>
      <family val="2"/>
      <scheme val="minor"/>
    </font>
    <font>
      <b/>
      <sz val="11"/>
      <color rgb="FF434B68"/>
      <name val="Calibri"/>
      <family val="2"/>
      <scheme val="minor"/>
    </font>
    <font>
      <sz val="11"/>
      <color rgb="FF434B68"/>
      <name val="Calibri"/>
      <family val="2"/>
      <scheme val="minor"/>
    </font>
    <font>
      <b/>
      <sz val="16"/>
      <color rgb="FFD78C61"/>
      <name val="Calibri"/>
      <family val="2"/>
      <scheme val="minor"/>
    </font>
  </fonts>
  <fills count="9">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434B68"/>
        <bgColor indexed="64"/>
      </patternFill>
    </fill>
    <fill>
      <patternFill patternType="solid">
        <fgColor rgb="FFD78C61"/>
        <bgColor indexed="64"/>
      </patternFill>
    </fill>
    <fill>
      <patternFill patternType="solid">
        <fgColor rgb="FF68B1AA"/>
        <bgColor indexed="64"/>
      </patternFill>
    </fill>
    <fill>
      <patternFill patternType="solid">
        <fgColor rgb="FF876A91"/>
        <bgColor indexed="64"/>
      </patternFill>
    </fill>
  </fills>
  <borders count="104">
    <border>
      <left/>
      <right/>
      <top/>
      <bottom/>
      <diagonal/>
    </border>
    <border>
      <left style="thin">
        <color indexed="64"/>
      </left>
      <right style="medium">
        <color rgb="FF26583A"/>
      </right>
      <top style="thin">
        <color indexed="64"/>
      </top>
      <bottom style="medium">
        <color rgb="FF26583A"/>
      </bottom>
      <diagonal/>
    </border>
    <border>
      <left style="medium">
        <color rgb="FF26583A"/>
      </left>
      <right style="thin">
        <color indexed="64"/>
      </right>
      <top style="thin">
        <color indexed="64"/>
      </top>
      <bottom style="medium">
        <color rgb="FF26583A"/>
      </bottom>
      <diagonal/>
    </border>
    <border>
      <left style="thin">
        <color indexed="64"/>
      </left>
      <right style="medium">
        <color rgb="FF26583A"/>
      </right>
      <top/>
      <bottom style="thin">
        <color indexed="64"/>
      </bottom>
      <diagonal/>
    </border>
    <border>
      <left style="medium">
        <color rgb="FF26583A"/>
      </left>
      <right style="thin">
        <color indexed="64"/>
      </right>
      <top/>
      <bottom style="thin">
        <color indexed="64"/>
      </bottom>
      <diagonal/>
    </border>
    <border>
      <left style="thin">
        <color indexed="64"/>
      </left>
      <right style="medium">
        <color rgb="FF26583A"/>
      </right>
      <top style="thin">
        <color indexed="64"/>
      </top>
      <bottom style="thin">
        <color rgb="FF26583A"/>
      </bottom>
      <diagonal/>
    </border>
    <border>
      <left style="medium">
        <color rgb="FF26583A"/>
      </left>
      <right style="thin">
        <color rgb="FF26583A"/>
      </right>
      <top style="thin">
        <color rgb="FF26583A"/>
      </top>
      <bottom style="thin">
        <color rgb="FF26583A"/>
      </bottom>
      <diagonal/>
    </border>
    <border>
      <left style="thin">
        <color indexed="64"/>
      </left>
      <right style="medium">
        <color rgb="FF26583A"/>
      </right>
      <top style="thin">
        <color indexed="64"/>
      </top>
      <bottom/>
      <diagonal/>
    </border>
    <border>
      <left style="medium">
        <color rgb="FF26583A"/>
      </left>
      <right style="thin">
        <color indexed="64"/>
      </right>
      <top style="thin">
        <color indexed="64"/>
      </top>
      <bottom/>
      <diagonal/>
    </border>
    <border>
      <left style="medium">
        <color rgb="FF26583A"/>
      </left>
      <right style="medium">
        <color rgb="FF26583A"/>
      </right>
      <top style="medium">
        <color rgb="FF26583A"/>
      </top>
      <bottom/>
      <diagonal/>
    </border>
    <border>
      <left style="medium">
        <color rgb="FF26583A"/>
      </left>
      <right/>
      <top style="medium">
        <color rgb="FF26583A"/>
      </top>
      <bottom/>
      <diagonal/>
    </border>
    <border>
      <left/>
      <right style="medium">
        <color indexed="64"/>
      </right>
      <top/>
      <bottom style="medium">
        <color indexed="64"/>
      </bottom>
      <diagonal/>
    </border>
    <border>
      <left/>
      <right/>
      <top/>
      <bottom style="medium">
        <color indexed="64"/>
      </bottom>
      <diagonal/>
    </border>
    <border>
      <left/>
      <right style="medium">
        <color rgb="FF26583A"/>
      </right>
      <top/>
      <bottom style="medium">
        <color rgb="FF26583A"/>
      </bottom>
      <diagonal/>
    </border>
    <border>
      <left/>
      <right/>
      <top/>
      <bottom style="medium">
        <color rgb="FF26583A"/>
      </bottom>
      <diagonal/>
    </border>
    <border>
      <left style="medium">
        <color rgb="FF26583A"/>
      </left>
      <right/>
      <top/>
      <bottom style="medium">
        <color rgb="FF26583A"/>
      </bottom>
      <diagonal/>
    </border>
    <border>
      <left/>
      <right style="medium">
        <color indexed="64"/>
      </right>
      <top/>
      <bottom/>
      <diagonal/>
    </border>
    <border>
      <left/>
      <right style="medium">
        <color rgb="FF26583A"/>
      </right>
      <top/>
      <bottom/>
      <diagonal/>
    </border>
    <border>
      <left style="medium">
        <color rgb="FF26583A"/>
      </left>
      <right/>
      <top/>
      <bottom/>
      <diagonal/>
    </border>
    <border>
      <left/>
      <right style="medium">
        <color indexed="64"/>
      </right>
      <top style="medium">
        <color indexed="64"/>
      </top>
      <bottom/>
      <diagonal/>
    </border>
    <border>
      <left/>
      <right/>
      <top style="medium">
        <color indexed="64"/>
      </top>
      <bottom/>
      <diagonal/>
    </border>
    <border>
      <left/>
      <right style="medium">
        <color rgb="FF26583A"/>
      </right>
      <top style="medium">
        <color rgb="FF26583A"/>
      </top>
      <bottom/>
      <diagonal/>
    </border>
    <border>
      <left/>
      <right/>
      <top style="medium">
        <color rgb="FF26583A"/>
      </top>
      <bottom/>
      <diagonal/>
    </border>
    <border>
      <left/>
      <right style="medium">
        <color rgb="FF26583A"/>
      </right>
      <top style="medium">
        <color rgb="FF26583A"/>
      </top>
      <bottom style="medium">
        <color rgb="FF26583A"/>
      </bottom>
      <diagonal/>
    </border>
    <border>
      <left/>
      <right/>
      <top style="medium">
        <color rgb="FF26583A"/>
      </top>
      <bottom style="medium">
        <color rgb="FF26583A"/>
      </bottom>
      <diagonal/>
    </border>
    <border>
      <left style="medium">
        <color rgb="FF26583A"/>
      </left>
      <right/>
      <top style="medium">
        <color rgb="FF26583A"/>
      </top>
      <bottom style="medium">
        <color rgb="FF26583A"/>
      </bottom>
      <diagonal/>
    </border>
    <border>
      <left style="medium">
        <color rgb="FF26583A"/>
      </left>
      <right style="medium">
        <color rgb="FF26583A"/>
      </right>
      <top style="medium">
        <color rgb="FF26583A"/>
      </top>
      <bottom style="medium">
        <color rgb="FF26583A"/>
      </bottom>
      <diagonal/>
    </border>
    <border>
      <left style="thin">
        <color rgb="FF26583A"/>
      </left>
      <right style="medium">
        <color rgb="FF26583A"/>
      </right>
      <top style="thin">
        <color rgb="FF26583A"/>
      </top>
      <bottom style="medium">
        <color rgb="FF26583A"/>
      </bottom>
      <diagonal/>
    </border>
    <border>
      <left style="medium">
        <color rgb="FF26583A"/>
      </left>
      <right style="thin">
        <color rgb="FF26583A"/>
      </right>
      <top style="thin">
        <color rgb="FF26583A"/>
      </top>
      <bottom style="medium">
        <color rgb="FF26583A"/>
      </bottom>
      <diagonal/>
    </border>
    <border>
      <left style="thin">
        <color rgb="FF26583A"/>
      </left>
      <right style="medium">
        <color rgb="FF26583A"/>
      </right>
      <top style="thin">
        <color rgb="FF26583A"/>
      </top>
      <bottom style="thin">
        <color rgb="FF26583A"/>
      </bottom>
      <diagonal/>
    </border>
    <border>
      <left style="medium">
        <color rgb="FF26583A"/>
      </left>
      <right style="medium">
        <color rgb="FF26583A"/>
      </right>
      <top/>
      <bottom style="medium">
        <color rgb="FF26583A"/>
      </bottom>
      <diagonal/>
    </border>
    <border>
      <left style="medium">
        <color rgb="FF26583A"/>
      </left>
      <right style="medium">
        <color rgb="FF26583A"/>
      </right>
      <top/>
      <bottom/>
      <diagonal/>
    </border>
    <border>
      <left style="thin">
        <color rgb="FF26583A"/>
      </left>
      <right style="medium">
        <color rgb="FF26583A"/>
      </right>
      <top style="medium">
        <color rgb="FF26583A"/>
      </top>
      <bottom/>
      <diagonal/>
    </border>
    <border>
      <left style="medium">
        <color rgb="FF26583A"/>
      </left>
      <right style="thin">
        <color rgb="FF26583A"/>
      </right>
      <top style="medium">
        <color rgb="FF26583A"/>
      </top>
      <bottom/>
      <diagonal/>
    </border>
    <border>
      <left style="thin">
        <color rgb="FF26583A"/>
      </left>
      <right style="medium">
        <color rgb="FF26583A"/>
      </right>
      <top/>
      <bottom/>
      <diagonal/>
    </border>
    <border>
      <left style="medium">
        <color rgb="FF26583A"/>
      </left>
      <right style="thin">
        <color rgb="FF26583A"/>
      </right>
      <top/>
      <bottom/>
      <diagonal/>
    </border>
    <border>
      <left style="thin">
        <color rgb="FF26583A"/>
      </left>
      <right/>
      <top/>
      <bottom/>
      <diagonal/>
    </border>
    <border>
      <left style="thin">
        <color rgb="FF26583A"/>
      </left>
      <right style="medium">
        <color rgb="FF26583A"/>
      </right>
      <top style="thin">
        <color rgb="FF26583A"/>
      </top>
      <bottom/>
      <diagonal/>
    </border>
    <border>
      <left style="thin">
        <color rgb="FF26583A"/>
      </left>
      <right style="medium">
        <color rgb="FF26583A"/>
      </right>
      <top style="medium">
        <color rgb="FF26583A"/>
      </top>
      <bottom style="thin">
        <color rgb="FF26583A"/>
      </bottom>
      <diagonal/>
    </border>
    <border>
      <left style="medium">
        <color rgb="FF26583A"/>
      </left>
      <right style="thin">
        <color rgb="FF26583A"/>
      </right>
      <top style="medium">
        <color rgb="FF26583A"/>
      </top>
      <bottom style="thin">
        <color rgb="FF26583A"/>
      </bottom>
      <diagonal/>
    </border>
    <border>
      <left style="medium">
        <color rgb="FF26583A"/>
      </left>
      <right style="thin">
        <color rgb="FF26583A"/>
      </right>
      <top style="thin">
        <color rgb="FF26583A"/>
      </top>
      <bottom/>
      <diagonal/>
    </border>
    <border>
      <left style="thin">
        <color rgb="FF26583A"/>
      </left>
      <right style="medium">
        <color rgb="FF26583A"/>
      </right>
      <top/>
      <bottom style="medium">
        <color rgb="FF26583A"/>
      </bottom>
      <diagonal/>
    </border>
    <border>
      <left style="thin">
        <color indexed="64"/>
      </left>
      <right style="medium">
        <color rgb="FF26583A"/>
      </right>
      <top style="thin">
        <color indexed="64"/>
      </top>
      <bottom style="thin">
        <color indexed="64"/>
      </bottom>
      <diagonal/>
    </border>
    <border>
      <left style="medium">
        <color rgb="FF26583A"/>
      </left>
      <right style="thin">
        <color indexed="64"/>
      </right>
      <top style="thin">
        <color indexed="64"/>
      </top>
      <bottom style="thin">
        <color indexed="64"/>
      </bottom>
      <diagonal/>
    </border>
    <border>
      <left/>
      <right/>
      <top style="thin">
        <color rgb="FF80C34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26583A"/>
      </left>
      <right style="thin">
        <color rgb="FF26583A"/>
      </right>
      <top style="thin">
        <color rgb="FF26583A"/>
      </top>
      <bottom style="thin">
        <color rgb="FF26583A"/>
      </bottom>
      <diagonal/>
    </border>
    <border>
      <left style="thin">
        <color rgb="FF26583A"/>
      </left>
      <right style="thin">
        <color rgb="FF26583A"/>
      </right>
      <top style="thin">
        <color rgb="FF26583A"/>
      </top>
      <bottom/>
      <diagonal/>
    </border>
    <border>
      <left style="thin">
        <color rgb="FF26583A"/>
      </left>
      <right style="thin">
        <color rgb="FF26583A"/>
      </right>
      <top/>
      <bottom style="thin">
        <color rgb="FF26583A"/>
      </bottom>
      <diagonal/>
    </border>
    <border>
      <left style="thin">
        <color indexed="64"/>
      </left>
      <right style="thin">
        <color indexed="64"/>
      </right>
      <top/>
      <bottom/>
      <diagonal/>
    </border>
    <border>
      <left style="medium">
        <color rgb="FF26583A"/>
      </left>
      <right style="thin">
        <color rgb="FF26583A"/>
      </right>
      <top style="medium">
        <color rgb="FF26583A"/>
      </top>
      <bottom style="medium">
        <color rgb="FF26583A"/>
      </bottom>
      <diagonal/>
    </border>
    <border>
      <left style="thin">
        <color rgb="FF26583A"/>
      </left>
      <right style="medium">
        <color rgb="FF26583A"/>
      </right>
      <top style="medium">
        <color rgb="FF26583A"/>
      </top>
      <bottom style="medium">
        <color rgb="FF26583A"/>
      </bottom>
      <diagonal/>
    </border>
    <border>
      <left style="thin">
        <color indexed="64"/>
      </left>
      <right/>
      <top/>
      <bottom/>
      <diagonal/>
    </border>
    <border>
      <left style="thin">
        <color indexed="64"/>
      </left>
      <right style="thin">
        <color rgb="FF26583A"/>
      </right>
      <top style="thin">
        <color rgb="FF26583A"/>
      </top>
      <bottom style="medium">
        <color rgb="FF26583A"/>
      </bottom>
      <diagonal/>
    </border>
    <border>
      <left style="medium">
        <color rgb="FF26583A"/>
      </left>
      <right/>
      <top style="thin">
        <color rgb="FF26583A"/>
      </top>
      <bottom style="medium">
        <color rgb="FF26583A"/>
      </bottom>
      <diagonal/>
    </border>
    <border>
      <left style="medium">
        <color theme="9" tint="-0.499984740745262"/>
      </left>
      <right style="medium">
        <color theme="9" tint="-0.499984740745262"/>
      </right>
      <top style="medium">
        <color theme="9" tint="-0.499984740745262"/>
      </top>
      <bottom/>
      <diagonal/>
    </border>
    <border>
      <left style="medium">
        <color theme="9" tint="-0.499984740745262"/>
      </left>
      <right style="medium">
        <color theme="9" tint="-0.499984740745262"/>
      </right>
      <top/>
      <bottom/>
      <diagonal/>
    </border>
    <border>
      <left style="medium">
        <color theme="9" tint="-0.499984740745262"/>
      </left>
      <right style="medium">
        <color theme="9" tint="-0.499984740745262"/>
      </right>
      <top/>
      <bottom style="medium">
        <color theme="9" tint="-0.499984740745262"/>
      </bottom>
      <diagonal/>
    </border>
    <border>
      <left style="medium">
        <color theme="9" tint="-0.499984740745262"/>
      </left>
      <right style="medium">
        <color theme="9" tint="-0.499984740745262"/>
      </right>
      <top style="medium">
        <color theme="9" tint="-0.499984740745262"/>
      </top>
      <bottom style="medium">
        <color rgb="FF26583A"/>
      </bottom>
      <diagonal/>
    </border>
    <border>
      <left style="medium">
        <color theme="9" tint="-0.499984740745262"/>
      </left>
      <right style="medium">
        <color theme="9" tint="-0.499984740745262"/>
      </right>
      <top style="medium">
        <color rgb="FF26583A"/>
      </top>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medium">
        <color theme="9" tint="-0.499984740745262"/>
      </left>
      <right style="medium">
        <color theme="9" tint="-0.499984740745262"/>
      </right>
      <top style="medium">
        <color theme="9" tint="-0.499984740745262"/>
      </top>
      <bottom style="medium">
        <color theme="9" tint="-0.499984740745262"/>
      </bottom>
      <diagonal/>
    </border>
    <border>
      <left style="medium">
        <color theme="9" tint="-0.499984740745262"/>
      </left>
      <right style="thin">
        <color rgb="FF26583A"/>
      </right>
      <top style="medium">
        <color theme="9" tint="-0.499984740745262"/>
      </top>
      <bottom/>
      <diagonal/>
    </border>
    <border>
      <left style="thin">
        <color rgb="FF26583A"/>
      </left>
      <right style="medium">
        <color theme="9" tint="-0.499984740745262"/>
      </right>
      <top style="medium">
        <color theme="9" tint="-0.499984740745262"/>
      </top>
      <bottom/>
      <diagonal/>
    </border>
    <border>
      <left style="medium">
        <color theme="9" tint="-0.499984740745262"/>
      </left>
      <right style="thin">
        <color rgb="FF26583A"/>
      </right>
      <top/>
      <bottom/>
      <diagonal/>
    </border>
    <border>
      <left style="thin">
        <color rgb="FF26583A"/>
      </left>
      <right style="medium">
        <color theme="9" tint="-0.499984740745262"/>
      </right>
      <top/>
      <bottom/>
      <diagonal/>
    </border>
    <border>
      <left style="medium">
        <color theme="9" tint="-0.499984740745262"/>
      </left>
      <right/>
      <top/>
      <bottom/>
      <diagonal/>
    </border>
    <border>
      <left/>
      <right style="medium">
        <color theme="9" tint="-0.499984740745262"/>
      </right>
      <top/>
      <bottom/>
      <diagonal/>
    </border>
    <border>
      <left style="medium">
        <color theme="9" tint="-0.499984740745262"/>
      </left>
      <right style="thin">
        <color rgb="FF26583A"/>
      </right>
      <top style="medium">
        <color rgb="FF26583A"/>
      </top>
      <bottom style="thin">
        <color rgb="FF26583A"/>
      </bottom>
      <diagonal/>
    </border>
    <border>
      <left style="thin">
        <color rgb="FF26583A"/>
      </left>
      <right style="medium">
        <color theme="9" tint="-0.499984740745262"/>
      </right>
      <top style="medium">
        <color rgb="FF26583A"/>
      </top>
      <bottom style="thin">
        <color indexed="64"/>
      </bottom>
      <diagonal/>
    </border>
    <border>
      <left style="medium">
        <color theme="9" tint="-0.499984740745262"/>
      </left>
      <right style="thin">
        <color rgb="FF26583A"/>
      </right>
      <top/>
      <bottom style="thin">
        <color rgb="FF26583A"/>
      </bottom>
      <diagonal/>
    </border>
    <border>
      <left style="thin">
        <color rgb="FF26583A"/>
      </left>
      <right style="medium">
        <color theme="9" tint="-0.499984740745262"/>
      </right>
      <top style="thin">
        <color indexed="64"/>
      </top>
      <bottom style="thin">
        <color indexed="64"/>
      </bottom>
      <diagonal/>
    </border>
    <border>
      <left style="medium">
        <color theme="9" tint="-0.499984740745262"/>
      </left>
      <right style="thin">
        <color rgb="FF26583A"/>
      </right>
      <top/>
      <bottom style="thin">
        <color theme="9" tint="-0.499984740745262"/>
      </bottom>
      <diagonal/>
    </border>
    <border>
      <left style="thin">
        <color rgb="FF26583A"/>
      </left>
      <right style="medium">
        <color theme="9" tint="-0.499984740745262"/>
      </right>
      <top style="thin">
        <color indexed="64"/>
      </top>
      <bottom style="thin">
        <color theme="9" tint="-0.499984740745262"/>
      </bottom>
      <diagonal/>
    </border>
    <border>
      <left style="medium">
        <color theme="9" tint="-0.499984740745262"/>
      </left>
      <right/>
      <top/>
      <bottom style="medium">
        <color theme="9" tint="-0.499984740745262"/>
      </bottom>
      <diagonal/>
    </border>
    <border>
      <left/>
      <right style="medium">
        <color theme="9" tint="-0.499984740745262"/>
      </right>
      <top/>
      <bottom style="medium">
        <color theme="9" tint="-0.499984740745262"/>
      </bottom>
      <diagonal/>
    </border>
    <border>
      <left style="thin">
        <color theme="9" tint="-0.499984740745262"/>
      </left>
      <right style="medium">
        <color theme="9" tint="-0.499984740745262"/>
      </right>
      <top style="thin">
        <color theme="9" tint="-0.499984740745262"/>
      </top>
      <bottom style="medium">
        <color theme="9" tint="-0.499984740745262"/>
      </bottom>
      <diagonal/>
    </border>
    <border>
      <left style="thin">
        <color rgb="FF26583A"/>
      </left>
      <right style="medium">
        <color theme="9" tint="-0.499984740745262"/>
      </right>
      <top style="medium">
        <color rgb="FF26583A"/>
      </top>
      <bottom style="thin">
        <color rgb="FF26583A"/>
      </bottom>
      <diagonal/>
    </border>
    <border>
      <left style="medium">
        <color theme="9" tint="-0.499984740745262"/>
      </left>
      <right style="thin">
        <color indexed="64"/>
      </right>
      <top style="thin">
        <color indexed="64"/>
      </top>
      <bottom style="thin">
        <color theme="9" tint="-0.499984740745262"/>
      </bottom>
      <diagonal/>
    </border>
    <border>
      <left style="thin">
        <color indexed="64"/>
      </left>
      <right style="medium">
        <color theme="9" tint="-0.499984740745262"/>
      </right>
      <top style="thin">
        <color indexed="64"/>
      </top>
      <bottom style="thin">
        <color theme="9" tint="-0.499984740745262"/>
      </bottom>
      <diagonal/>
    </border>
    <border>
      <left style="medium">
        <color theme="9" tint="-0.499984740745262"/>
      </left>
      <right style="thin">
        <color theme="9" tint="-0.499984740745262"/>
      </right>
      <top style="thin">
        <color theme="9" tint="-0.499984740745262"/>
      </top>
      <bottom style="medium">
        <color theme="9" tint="-0.499984740745262"/>
      </bottom>
      <diagonal/>
    </border>
    <border>
      <left style="thin">
        <color theme="9" tint="-0.499984740745262"/>
      </left>
      <right/>
      <top style="thin">
        <color theme="9" tint="-0.499984740745262"/>
      </top>
      <bottom style="thin">
        <color theme="9" tint="-0.49998474074526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26583A"/>
      </left>
      <right/>
      <top style="thin">
        <color rgb="FF26583A"/>
      </top>
      <bottom/>
      <diagonal/>
    </border>
    <border>
      <left/>
      <right/>
      <top style="thin">
        <color rgb="FF26583A"/>
      </top>
      <bottom/>
      <diagonal/>
    </border>
    <border>
      <left style="thin">
        <color rgb="FF26583A"/>
      </left>
      <right/>
      <top style="thin">
        <color rgb="FFD78C61"/>
      </top>
      <bottom/>
      <diagonal/>
    </border>
    <border>
      <left/>
      <right style="medium">
        <color rgb="FF26583A"/>
      </right>
      <top style="thin">
        <color rgb="FFD78C61"/>
      </top>
      <bottom/>
      <diagonal/>
    </border>
    <border>
      <left style="thin">
        <color rgb="FF26583A"/>
      </left>
      <right/>
      <top style="thin">
        <color rgb="FF26583A"/>
      </top>
      <bottom style="thin">
        <color rgb="FFD78C61"/>
      </bottom>
      <diagonal/>
    </border>
    <border>
      <left/>
      <right/>
      <top style="thin">
        <color rgb="FF26583A"/>
      </top>
      <bottom style="thin">
        <color rgb="FFD78C61"/>
      </bottom>
      <diagonal/>
    </border>
    <border>
      <left/>
      <right style="medium">
        <color rgb="FF26583A"/>
      </right>
      <top style="thin">
        <color rgb="FFD78C61"/>
      </top>
      <bottom style="medium">
        <color rgb="FF26583A"/>
      </bottom>
      <diagonal/>
    </border>
    <border>
      <left/>
      <right/>
      <top style="thin">
        <color rgb="FFD78C61"/>
      </top>
      <bottom style="medium">
        <color rgb="FF26583A"/>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20" fillId="0" borderId="0"/>
    <xf numFmtId="0" fontId="20" fillId="0" borderId="0"/>
    <xf numFmtId="0" fontId="20" fillId="0" borderId="0"/>
  </cellStyleXfs>
  <cellXfs count="333">
    <xf numFmtId="0" fontId="0" fillId="0" borderId="0" xfId="0"/>
    <xf numFmtId="43" fontId="0" fillId="0" borderId="3" xfId="1" applyFont="1" applyBorder="1"/>
    <xf numFmtId="0" fontId="0" fillId="0" borderId="4" xfId="0" applyBorder="1"/>
    <xf numFmtId="43" fontId="0" fillId="0" borderId="5" xfId="1" applyFont="1" applyBorder="1"/>
    <xf numFmtId="0" fontId="0" fillId="0" borderId="6" xfId="0" applyBorder="1"/>
    <xf numFmtId="43" fontId="0" fillId="0" borderId="7" xfId="1" applyFont="1" applyBorder="1"/>
    <xf numFmtId="0" fontId="0" fillId="0" borderId="8"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5" fillId="0" borderId="18" xfId="0" applyFont="1" applyBorder="1"/>
    <xf numFmtId="0" fontId="3" fillId="0" borderId="18" xfId="0" applyFont="1" applyBorder="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6" fillId="0" borderId="10" xfId="0" applyFont="1" applyBorder="1" applyAlignment="1">
      <alignment horizontal="center"/>
    </xf>
    <xf numFmtId="0" fontId="4" fillId="0" borderId="0" xfId="0" applyFont="1"/>
    <xf numFmtId="0" fontId="0" fillId="0" borderId="0" xfId="0" applyAlignment="1">
      <alignment horizontal="center"/>
    </xf>
    <xf numFmtId="0" fontId="11" fillId="0" borderId="0" xfId="0" applyFont="1" applyAlignment="1">
      <alignment horizontal="left" vertical="center" indent="5"/>
    </xf>
    <xf numFmtId="0" fontId="0" fillId="0" borderId="28" xfId="0" applyBorder="1"/>
    <xf numFmtId="43" fontId="0" fillId="0" borderId="37" xfId="1" applyFont="1" applyBorder="1" applyAlignment="1" applyProtection="1">
      <alignment vertical="center"/>
    </xf>
    <xf numFmtId="0" fontId="8" fillId="0" borderId="26" xfId="3" applyBorder="1" applyAlignment="1" applyProtection="1">
      <alignment vertical="center"/>
    </xf>
    <xf numFmtId="43" fontId="0" fillId="0" borderId="37" xfId="1" applyFont="1" applyFill="1" applyBorder="1"/>
    <xf numFmtId="0" fontId="16" fillId="0" borderId="0" xfId="0" applyFont="1" applyAlignment="1">
      <alignment horizontal="right"/>
    </xf>
    <xf numFmtId="0" fontId="0" fillId="3" borderId="0" xfId="0" applyFill="1"/>
    <xf numFmtId="43" fontId="0" fillId="0" borderId="27" xfId="0" applyNumberFormat="1" applyBorder="1"/>
    <xf numFmtId="0" fontId="0" fillId="4" borderId="0" xfId="0" applyFill="1"/>
    <xf numFmtId="0" fontId="0" fillId="4" borderId="0" xfId="0" applyFill="1" applyAlignment="1">
      <alignment vertical="top" wrapText="1"/>
    </xf>
    <xf numFmtId="0" fontId="3" fillId="4" borderId="0" xfId="0" applyFont="1" applyFill="1"/>
    <xf numFmtId="0" fontId="3" fillId="3" borderId="0" xfId="0" applyFont="1" applyFill="1" applyAlignment="1">
      <alignment vertical="center"/>
    </xf>
    <xf numFmtId="0" fontId="3" fillId="3" borderId="48" xfId="0" applyFont="1" applyFill="1" applyBorder="1" applyAlignment="1">
      <alignment vertical="center"/>
    </xf>
    <xf numFmtId="0" fontId="3" fillId="3" borderId="63" xfId="0" applyFont="1" applyFill="1" applyBorder="1" applyAlignment="1">
      <alignment vertical="center"/>
    </xf>
    <xf numFmtId="0" fontId="8" fillId="3" borderId="50" xfId="3" applyFill="1" applyBorder="1"/>
    <xf numFmtId="0" fontId="8" fillId="0" borderId="0" xfId="3" applyBorder="1" applyAlignment="1">
      <alignment vertical="center"/>
    </xf>
    <xf numFmtId="0" fontId="8" fillId="3" borderId="0" xfId="3" applyFill="1" applyBorder="1"/>
    <xf numFmtId="0" fontId="0" fillId="3" borderId="0" xfId="0" applyFill="1" applyBorder="1"/>
    <xf numFmtId="0" fontId="3" fillId="3" borderId="22" xfId="0" applyFont="1" applyFill="1" applyBorder="1" applyAlignment="1">
      <alignment vertical="center"/>
    </xf>
    <xf numFmtId="0" fontId="3" fillId="3" borderId="0" xfId="0" applyFont="1" applyFill="1" applyBorder="1" applyAlignment="1">
      <alignment vertical="center"/>
    </xf>
    <xf numFmtId="0" fontId="0" fillId="3" borderId="0" xfId="0" applyFill="1" applyBorder="1" applyAlignment="1">
      <alignment vertical="center" wrapText="1"/>
    </xf>
    <xf numFmtId="0" fontId="0" fillId="3" borderId="0" xfId="0" applyFill="1" applyBorder="1" applyAlignment="1">
      <alignment wrapText="1"/>
    </xf>
    <xf numFmtId="0" fontId="0" fillId="3" borderId="22" xfId="0" applyFill="1" applyBorder="1" applyAlignment="1">
      <alignment vertical="center" wrapText="1"/>
    </xf>
    <xf numFmtId="0" fontId="3" fillId="3" borderId="0" xfId="0" applyFont="1" applyFill="1" applyBorder="1"/>
    <xf numFmtId="0" fontId="0" fillId="0" borderId="27" xfId="0" applyBorder="1" applyProtection="1"/>
    <xf numFmtId="43" fontId="0" fillId="0" borderId="32" xfId="1" applyFont="1" applyFill="1" applyBorder="1" applyProtection="1"/>
    <xf numFmtId="43" fontId="0" fillId="0" borderId="37" xfId="1" applyFont="1" applyFill="1" applyBorder="1" applyProtection="1"/>
    <xf numFmtId="43" fontId="0" fillId="0" borderId="37" xfId="1" applyFont="1" applyFill="1" applyBorder="1" applyAlignment="1" applyProtection="1">
      <alignment vertical="center"/>
    </xf>
    <xf numFmtId="0" fontId="0" fillId="2" borderId="0" xfId="0" applyFill="1" applyProtection="1"/>
    <xf numFmtId="0" fontId="0" fillId="0" borderId="0" xfId="0" applyProtection="1"/>
    <xf numFmtId="0" fontId="11" fillId="0" borderId="0" xfId="0" applyFont="1" applyAlignment="1" applyProtection="1">
      <alignment horizontal="left" vertical="center" indent="5"/>
    </xf>
    <xf numFmtId="0" fontId="16" fillId="0" borderId="0" xfId="0" applyFont="1" applyAlignment="1" applyProtection="1">
      <alignment horizontal="right"/>
    </xf>
    <xf numFmtId="0" fontId="3" fillId="0" borderId="18" xfId="0" applyFont="1" applyFill="1" applyBorder="1" applyAlignment="1" applyProtection="1">
      <alignment horizontal="left" vertical="center" indent="2"/>
    </xf>
    <xf numFmtId="0" fontId="4" fillId="0" borderId="0" xfId="0" applyFont="1" applyFill="1" applyBorder="1" applyProtection="1"/>
    <xf numFmtId="0" fontId="4" fillId="0" borderId="17" xfId="0" applyFont="1" applyFill="1" applyBorder="1" applyProtection="1"/>
    <xf numFmtId="0" fontId="0" fillId="0" borderId="17" xfId="0" applyBorder="1" applyProtection="1"/>
    <xf numFmtId="0" fontId="0" fillId="0" borderId="18" xfId="0" applyBorder="1" applyAlignment="1" applyProtection="1">
      <alignment horizontal="left" vertical="center" indent="2"/>
    </xf>
    <xf numFmtId="0" fontId="0" fillId="0" borderId="0" xfId="0" applyBorder="1" applyAlignment="1" applyProtection="1">
      <alignment horizontal="left" vertical="center" indent="2"/>
    </xf>
    <xf numFmtId="0" fontId="0" fillId="0" borderId="17" xfId="0" applyBorder="1" applyAlignment="1" applyProtection="1">
      <alignment horizontal="left" vertical="center" indent="2"/>
    </xf>
    <xf numFmtId="0" fontId="0" fillId="0" borderId="0" xfId="0" applyBorder="1" applyProtection="1"/>
    <xf numFmtId="0" fontId="11" fillId="0" borderId="0" xfId="0" applyFont="1" applyAlignment="1" applyProtection="1">
      <alignment horizontal="left" vertical="center" indent="6"/>
    </xf>
    <xf numFmtId="2" fontId="0" fillId="0" borderId="0" xfId="0" applyNumberFormat="1" applyProtection="1"/>
    <xf numFmtId="1" fontId="0" fillId="0" borderId="0" xfId="0" applyNumberFormat="1" applyProtection="1"/>
    <xf numFmtId="0" fontId="0" fillId="0" borderId="39" xfId="0" applyBorder="1" applyAlignment="1" applyProtection="1">
      <alignment vertical="center"/>
    </xf>
    <xf numFmtId="43" fontId="0" fillId="0" borderId="38" xfId="1" applyFont="1" applyFill="1" applyBorder="1" applyAlignment="1" applyProtection="1">
      <alignment vertical="center"/>
    </xf>
    <xf numFmtId="0" fontId="0" fillId="0" borderId="6" xfId="0" applyBorder="1" applyAlignment="1" applyProtection="1">
      <alignment vertical="center"/>
    </xf>
    <xf numFmtId="43" fontId="0" fillId="0" borderId="29" xfId="1" applyFont="1" applyFill="1" applyBorder="1" applyProtection="1"/>
    <xf numFmtId="0" fontId="0" fillId="0" borderId="6" xfId="0" applyBorder="1" applyProtection="1"/>
    <xf numFmtId="166" fontId="0" fillId="0" borderId="6" xfId="0" applyNumberFormat="1" applyBorder="1" applyProtection="1"/>
    <xf numFmtId="0" fontId="0" fillId="0" borderId="28" xfId="0" applyBorder="1" applyProtection="1"/>
    <xf numFmtId="43" fontId="0" fillId="0" borderId="27" xfId="1" applyFont="1" applyFill="1" applyBorder="1" applyProtection="1"/>
    <xf numFmtId="166" fontId="31" fillId="0" borderId="28" xfId="0" applyNumberFormat="1" applyFont="1" applyBorder="1" applyProtection="1"/>
    <xf numFmtId="43" fontId="0" fillId="0" borderId="27" xfId="1" applyFont="1" applyBorder="1" applyProtection="1"/>
    <xf numFmtId="0" fontId="0" fillId="0" borderId="0" xfId="0" applyFill="1" applyBorder="1" applyAlignment="1" applyProtection="1">
      <alignment vertical="top" wrapText="1"/>
    </xf>
    <xf numFmtId="0" fontId="0" fillId="0" borderId="33" xfId="0" applyBorder="1" applyProtection="1"/>
    <xf numFmtId="165" fontId="0" fillId="0" borderId="42" xfId="1" applyNumberFormat="1" applyFont="1" applyFill="1" applyBorder="1" applyProtection="1"/>
    <xf numFmtId="0" fontId="0" fillId="0" borderId="43" xfId="0" applyBorder="1" applyProtection="1"/>
    <xf numFmtId="0" fontId="0" fillId="0" borderId="43" xfId="0" applyBorder="1" applyAlignment="1" applyProtection="1">
      <alignment wrapText="1"/>
    </xf>
    <xf numFmtId="0" fontId="0" fillId="0" borderId="43" xfId="0" applyBorder="1" applyAlignment="1" applyProtection="1">
      <alignment vertical="center"/>
    </xf>
    <xf numFmtId="43" fontId="0" fillId="0" borderId="42" xfId="1" applyFont="1" applyFill="1" applyBorder="1" applyAlignment="1" applyProtection="1">
      <alignment vertical="center"/>
    </xf>
    <xf numFmtId="43" fontId="0" fillId="0" borderId="42" xfId="1" applyFont="1" applyFill="1" applyBorder="1" applyProtection="1"/>
    <xf numFmtId="0" fontId="0" fillId="0" borderId="2" xfId="0" applyBorder="1" applyAlignment="1" applyProtection="1">
      <alignment wrapText="1"/>
    </xf>
    <xf numFmtId="43" fontId="0" fillId="0" borderId="1" xfId="1" applyFont="1" applyFill="1" applyBorder="1" applyProtection="1"/>
    <xf numFmtId="0" fontId="0" fillId="0" borderId="85" xfId="0" applyFill="1" applyBorder="1" applyAlignment="1" applyProtection="1">
      <alignment wrapText="1"/>
    </xf>
    <xf numFmtId="0" fontId="0" fillId="0" borderId="87" xfId="0" applyFill="1" applyBorder="1" applyAlignment="1" applyProtection="1">
      <alignment horizontal="right"/>
    </xf>
    <xf numFmtId="0" fontId="0" fillId="0" borderId="0" xfId="0" applyBorder="1" applyAlignment="1" applyProtection="1">
      <alignment vertical="top" wrapText="1"/>
    </xf>
    <xf numFmtId="0" fontId="8" fillId="0" borderId="26" xfId="3" applyFill="1" applyBorder="1" applyAlignment="1" applyProtection="1">
      <alignment vertical="center"/>
    </xf>
    <xf numFmtId="0" fontId="0" fillId="0" borderId="40" xfId="0" applyBorder="1" applyProtection="1"/>
    <xf numFmtId="0" fontId="0" fillId="0" borderId="28" xfId="0" applyBorder="1" applyAlignment="1" applyProtection="1">
      <alignment vertical="center"/>
    </xf>
    <xf numFmtId="0" fontId="4" fillId="0" borderId="0" xfId="0" applyFont="1" applyProtection="1"/>
    <xf numFmtId="0" fontId="0" fillId="0" borderId="0" xfId="0" applyAlignment="1" applyProtection="1">
      <alignment vertical="top" wrapText="1"/>
    </xf>
    <xf numFmtId="0" fontId="0" fillId="0" borderId="91" xfId="0" applyBorder="1" applyProtection="1"/>
    <xf numFmtId="0" fontId="0" fillId="0" borderId="86" xfId="0" applyBorder="1" applyProtection="1"/>
    <xf numFmtId="0" fontId="0" fillId="0" borderId="0" xfId="0" applyFill="1" applyProtection="1"/>
    <xf numFmtId="0" fontId="8" fillId="0" borderId="72" xfId="3" applyFill="1" applyBorder="1" applyAlignment="1" applyProtection="1">
      <alignment vertical="center"/>
    </xf>
    <xf numFmtId="0" fontId="0" fillId="0" borderId="39" xfId="0" applyBorder="1" applyProtection="1"/>
    <xf numFmtId="43" fontId="0" fillId="0" borderId="41" xfId="1" applyFont="1" applyFill="1" applyBorder="1" applyProtection="1"/>
    <xf numFmtId="0" fontId="8" fillId="0" borderId="68" xfId="3" applyFill="1" applyBorder="1" applyAlignment="1" applyProtection="1">
      <alignment vertical="top" wrapText="1"/>
    </xf>
    <xf numFmtId="0" fontId="13" fillId="0" borderId="0" xfId="0" applyFont="1" applyAlignment="1" applyProtection="1">
      <alignment horizontal="left" vertical="top" wrapText="1"/>
    </xf>
    <xf numFmtId="0" fontId="14" fillId="0" borderId="0" xfId="0" applyFont="1" applyAlignment="1" applyProtection="1">
      <alignment horizontal="left" vertical="center" indent="5"/>
    </xf>
    <xf numFmtId="0" fontId="8" fillId="0" borderId="69" xfId="3" applyBorder="1" applyAlignment="1" applyProtection="1">
      <alignment vertical="center"/>
    </xf>
    <xf numFmtId="0" fontId="12" fillId="0" borderId="0" xfId="0" applyFont="1" applyAlignment="1" applyProtection="1">
      <alignment vertical="center"/>
    </xf>
    <xf numFmtId="0" fontId="8" fillId="0" borderId="0" xfId="3" applyAlignment="1" applyProtection="1">
      <alignment horizontal="left" vertical="center" indent="10"/>
    </xf>
    <xf numFmtId="0" fontId="0" fillId="0" borderId="33" xfId="0" applyBorder="1" applyAlignment="1" applyProtection="1">
      <alignment vertical="center"/>
    </xf>
    <xf numFmtId="43" fontId="0" fillId="0" borderId="32" xfId="1" applyFont="1" applyBorder="1" applyAlignment="1" applyProtection="1">
      <alignment vertical="center"/>
    </xf>
    <xf numFmtId="43" fontId="0" fillId="0" borderId="0" xfId="0" applyNumberFormat="1" applyProtection="1"/>
    <xf numFmtId="0" fontId="10" fillId="0" borderId="0" xfId="0" applyFont="1" applyAlignment="1" applyProtection="1">
      <alignment horizontal="left" vertical="center" indent="10"/>
    </xf>
    <xf numFmtId="0" fontId="0" fillId="3" borderId="0" xfId="0" applyFill="1" applyProtection="1"/>
    <xf numFmtId="4" fontId="0" fillId="3" borderId="49" xfId="0" applyNumberFormat="1" applyFill="1" applyBorder="1" applyAlignment="1" applyProtection="1">
      <alignment horizontal="center"/>
    </xf>
    <xf numFmtId="3" fontId="0" fillId="3" borderId="49" xfId="0" applyNumberFormat="1" applyFill="1" applyBorder="1" applyAlignment="1" applyProtection="1">
      <alignment horizontal="center"/>
    </xf>
    <xf numFmtId="167" fontId="0" fillId="3" borderId="49" xfId="0" applyNumberFormat="1" applyFill="1" applyBorder="1" applyAlignment="1" applyProtection="1">
      <alignment horizontal="center"/>
    </xf>
    <xf numFmtId="0" fontId="0" fillId="3" borderId="49" xfId="0" applyFill="1" applyBorder="1" applyAlignment="1" applyProtection="1">
      <alignment horizontal="center"/>
    </xf>
    <xf numFmtId="168" fontId="0" fillId="3" borderId="49" xfId="0" applyNumberFormat="1" applyFill="1" applyBorder="1" applyAlignment="1" applyProtection="1">
      <alignment horizontal="center"/>
    </xf>
    <xf numFmtId="4" fontId="0" fillId="3" borderId="48" xfId="0" applyNumberFormat="1" applyFill="1" applyBorder="1" applyAlignment="1" applyProtection="1">
      <alignment horizontal="center"/>
    </xf>
    <xf numFmtId="0" fontId="0" fillId="3" borderId="48" xfId="0" applyFill="1" applyBorder="1" applyAlignment="1" applyProtection="1">
      <alignment horizontal="center"/>
    </xf>
    <xf numFmtId="0" fontId="0" fillId="3" borderId="49" xfId="0" applyFill="1" applyBorder="1" applyProtection="1"/>
    <xf numFmtId="4" fontId="0" fillId="3" borderId="0" xfId="0" applyNumberFormat="1" applyFill="1" applyAlignment="1" applyProtection="1">
      <alignment horizontal="center"/>
    </xf>
    <xf numFmtId="43" fontId="0" fillId="3" borderId="0" xfId="1" applyFont="1" applyFill="1" applyProtection="1"/>
    <xf numFmtId="0" fontId="0" fillId="3" borderId="45" xfId="0" applyFill="1" applyBorder="1" applyProtection="1"/>
    <xf numFmtId="169" fontId="0" fillId="3" borderId="46" xfId="1" applyNumberFormat="1" applyFont="1" applyFill="1" applyBorder="1" applyProtection="1"/>
    <xf numFmtId="0" fontId="0" fillId="3" borderId="47" xfId="0" applyFill="1" applyBorder="1" applyProtection="1"/>
    <xf numFmtId="43" fontId="0" fillId="3" borderId="47" xfId="0" applyNumberFormat="1" applyFill="1" applyBorder="1" applyProtection="1"/>
    <xf numFmtId="43" fontId="0" fillId="3" borderId="0" xfId="0" applyNumberFormat="1" applyFill="1" applyProtection="1"/>
    <xf numFmtId="2" fontId="0" fillId="3" borderId="0" xfId="0" applyNumberFormat="1" applyFill="1" applyProtection="1"/>
    <xf numFmtId="0" fontId="8" fillId="3" borderId="0" xfId="3" applyFill="1" applyProtection="1"/>
    <xf numFmtId="0" fontId="0" fillId="0" borderId="49" xfId="0" applyBorder="1" applyProtection="1"/>
    <xf numFmtId="0" fontId="8" fillId="0" borderId="0" xfId="3" applyFill="1" applyProtection="1"/>
    <xf numFmtId="2" fontId="0" fillId="3" borderId="49" xfId="0" applyNumberFormat="1" applyFill="1" applyBorder="1" applyProtection="1"/>
    <xf numFmtId="1" fontId="0" fillId="3" borderId="49" xfId="0" applyNumberFormat="1" applyFill="1" applyBorder="1" applyProtection="1"/>
    <xf numFmtId="170" fontId="0" fillId="3" borderId="0" xfId="0" applyNumberFormat="1" applyFill="1" applyProtection="1"/>
    <xf numFmtId="0" fontId="0" fillId="3" borderId="49" xfId="0" applyFill="1" applyBorder="1" applyAlignment="1" applyProtection="1">
      <alignment wrapText="1"/>
    </xf>
    <xf numFmtId="0" fontId="0" fillId="3" borderId="71" xfId="0" applyFill="1" applyBorder="1" applyProtection="1"/>
    <xf numFmtId="0" fontId="21" fillId="3" borderId="49" xfId="4" applyFont="1" applyFill="1" applyBorder="1" applyAlignment="1" applyProtection="1">
      <alignment vertical="center"/>
    </xf>
    <xf numFmtId="0" fontId="21" fillId="3" borderId="49" xfId="5" applyFont="1" applyFill="1" applyBorder="1" applyAlignment="1" applyProtection="1">
      <alignment horizontal="center" wrapText="1"/>
    </xf>
    <xf numFmtId="0" fontId="22" fillId="3" borderId="49" xfId="0" applyFont="1" applyFill="1" applyBorder="1" applyAlignment="1" applyProtection="1">
      <alignment horizontal="center"/>
    </xf>
    <xf numFmtId="0" fontId="22" fillId="3" borderId="49" xfId="5" applyFont="1" applyFill="1" applyBorder="1" applyAlignment="1" applyProtection="1">
      <alignment horizontal="center"/>
    </xf>
    <xf numFmtId="0" fontId="3" fillId="3" borderId="49" xfId="0" applyFont="1" applyFill="1" applyBorder="1" applyProtection="1"/>
    <xf numFmtId="0" fontId="0" fillId="3" borderId="52" xfId="0" applyFill="1" applyBorder="1" applyProtection="1"/>
    <xf numFmtId="0" fontId="0" fillId="3" borderId="57" xfId="0" applyFill="1" applyBorder="1" applyProtection="1"/>
    <xf numFmtId="2" fontId="0" fillId="3" borderId="57" xfId="0" applyNumberFormat="1" applyFill="1" applyBorder="1" applyProtection="1"/>
    <xf numFmtId="0" fontId="8" fillId="0" borderId="0" xfId="3" applyProtection="1"/>
    <xf numFmtId="0" fontId="0" fillId="3" borderId="60" xfId="0" applyFill="1" applyBorder="1" applyAlignment="1" applyProtection="1">
      <alignment wrapText="1"/>
    </xf>
    <xf numFmtId="0" fontId="0" fillId="3" borderId="60" xfId="0" applyFill="1" applyBorder="1" applyAlignment="1" applyProtection="1">
      <alignment vertical="center"/>
    </xf>
    <xf numFmtId="0" fontId="0" fillId="3" borderId="0" xfId="0" applyFill="1" applyAlignment="1" applyProtection="1">
      <alignment vertical="center"/>
    </xf>
    <xf numFmtId="0" fontId="4" fillId="3" borderId="57" xfId="0" applyFont="1" applyFill="1" applyBorder="1" applyProtection="1"/>
    <xf numFmtId="2" fontId="4" fillId="3" borderId="57" xfId="0" applyNumberFormat="1" applyFont="1" applyFill="1" applyBorder="1" applyProtection="1"/>
    <xf numFmtId="0" fontId="4" fillId="3" borderId="0" xfId="0" applyFont="1" applyFill="1" applyProtection="1"/>
    <xf numFmtId="0" fontId="37" fillId="3" borderId="0" xfId="0" applyFont="1" applyFill="1" applyProtection="1"/>
    <xf numFmtId="0" fontId="38" fillId="3" borderId="0" xfId="3" applyFont="1" applyFill="1" applyProtection="1"/>
    <xf numFmtId="0" fontId="38" fillId="0" borderId="0" xfId="3" applyFont="1" applyProtection="1"/>
    <xf numFmtId="0" fontId="23" fillId="3" borderId="0" xfId="0" applyFont="1" applyFill="1" applyProtection="1"/>
    <xf numFmtId="171" fontId="0" fillId="3" borderId="49" xfId="0" applyNumberFormat="1" applyFill="1" applyBorder="1" applyProtection="1"/>
    <xf numFmtId="0" fontId="24" fillId="3" borderId="0" xfId="0" applyFont="1" applyFill="1" applyProtection="1"/>
    <xf numFmtId="0" fontId="25" fillId="3" borderId="0" xfId="6" applyFont="1" applyFill="1" applyProtection="1"/>
    <xf numFmtId="0" fontId="26" fillId="3" borderId="0" xfId="6" applyFont="1" applyFill="1" applyProtection="1"/>
    <xf numFmtId="0" fontId="27" fillId="3" borderId="0" xfId="3" applyFont="1" applyFill="1" applyProtection="1"/>
    <xf numFmtId="0" fontId="28" fillId="3" borderId="0" xfId="6" applyFont="1" applyFill="1" applyProtection="1"/>
    <xf numFmtId="1" fontId="26" fillId="3" borderId="0" xfId="6" applyNumberFormat="1" applyFont="1" applyFill="1" applyProtection="1"/>
    <xf numFmtId="0" fontId="29" fillId="3" borderId="49" xfId="0" applyFont="1" applyFill="1" applyBorder="1" applyProtection="1"/>
    <xf numFmtId="166" fontId="0" fillId="3" borderId="49" xfId="0" applyNumberFormat="1" applyFill="1" applyBorder="1" applyProtection="1"/>
    <xf numFmtId="166" fontId="0" fillId="3" borderId="0" xfId="0" applyNumberFormat="1" applyFill="1" applyProtection="1"/>
    <xf numFmtId="0" fontId="25" fillId="3" borderId="54" xfId="6" applyFont="1" applyFill="1" applyBorder="1" applyProtection="1"/>
    <xf numFmtId="0" fontId="0" fillId="3" borderId="56" xfId="0" applyFill="1" applyBorder="1" applyProtection="1"/>
    <xf numFmtId="0" fontId="8" fillId="3" borderId="0" xfId="3" applyFill="1" applyAlignment="1" applyProtection="1">
      <alignment vertical="center"/>
    </xf>
    <xf numFmtId="170" fontId="0" fillId="3" borderId="49" xfId="0" applyNumberFormat="1" applyFill="1" applyBorder="1" applyProtection="1"/>
    <xf numFmtId="0" fontId="0" fillId="3" borderId="92" xfId="0" applyFill="1" applyBorder="1" applyProtection="1"/>
    <xf numFmtId="0" fontId="0" fillId="3" borderId="49" xfId="0" applyFill="1" applyBorder="1" applyAlignment="1" applyProtection="1">
      <alignment horizontal="left" wrapText="1"/>
    </xf>
    <xf numFmtId="9" fontId="0" fillId="0" borderId="49" xfId="2" applyFont="1" applyBorder="1" applyProtection="1"/>
    <xf numFmtId="9" fontId="0" fillId="3" borderId="49" xfId="2" applyFont="1" applyFill="1" applyBorder="1" applyProtection="1"/>
    <xf numFmtId="0" fontId="0" fillId="3" borderId="49" xfId="0" applyFill="1" applyBorder="1" applyAlignment="1" applyProtection="1">
      <alignment horizontal="right"/>
    </xf>
    <xf numFmtId="9" fontId="0" fillId="3" borderId="49" xfId="0" applyNumberFormat="1" applyFill="1" applyBorder="1" applyProtection="1"/>
    <xf numFmtId="0" fontId="2" fillId="3" borderId="0" xfId="0" applyFont="1" applyFill="1" applyProtection="1"/>
    <xf numFmtId="0" fontId="8" fillId="3" borderId="0" xfId="3" applyFill="1" applyAlignment="1" applyProtection="1">
      <alignment horizontal="left" vertical="center" indent="10"/>
    </xf>
    <xf numFmtId="9" fontId="0" fillId="3" borderId="57" xfId="0" applyNumberFormat="1" applyFill="1" applyBorder="1" applyProtection="1"/>
    <xf numFmtId="0" fontId="31" fillId="3" borderId="57" xfId="0" applyFont="1" applyFill="1" applyBorder="1" applyProtection="1"/>
    <xf numFmtId="1" fontId="0" fillId="3" borderId="49" xfId="2" applyNumberFormat="1" applyFont="1" applyFill="1" applyBorder="1" applyProtection="1"/>
    <xf numFmtId="0" fontId="31" fillId="0" borderId="0" xfId="3" applyFont="1" applyProtection="1"/>
    <xf numFmtId="0" fontId="8" fillId="3" borderId="0" xfId="3" applyFill="1" applyAlignment="1" applyProtection="1">
      <alignment horizontal="left" vertical="center"/>
    </xf>
    <xf numFmtId="43" fontId="0" fillId="3" borderId="57" xfId="1" applyFont="1" applyFill="1" applyBorder="1" applyProtection="1"/>
    <xf numFmtId="0" fontId="3" fillId="3" borderId="0" xfId="0" applyFont="1" applyFill="1" applyProtection="1"/>
    <xf numFmtId="0" fontId="0" fillId="3" borderId="58" xfId="0" applyFill="1" applyBorder="1" applyProtection="1"/>
    <xf numFmtId="9" fontId="0" fillId="3" borderId="57" xfId="2" applyFont="1" applyFill="1" applyBorder="1" applyProtection="1"/>
    <xf numFmtId="2" fontId="0" fillId="3" borderId="58" xfId="0" applyNumberFormat="1" applyFill="1" applyBorder="1" applyProtection="1"/>
    <xf numFmtId="0" fontId="0" fillId="3" borderId="0" xfId="0" applyFill="1" applyBorder="1" applyProtection="1"/>
    <xf numFmtId="1" fontId="0" fillId="3" borderId="0" xfId="0" applyNumberFormat="1" applyFill="1" applyBorder="1" applyProtection="1"/>
    <xf numFmtId="1" fontId="0" fillId="3" borderId="57" xfId="0" applyNumberFormat="1" applyFill="1" applyBorder="1" applyProtection="1"/>
    <xf numFmtId="2" fontId="0" fillId="3" borderId="47" xfId="0" applyNumberFormat="1" applyFill="1" applyBorder="1" applyProtection="1"/>
    <xf numFmtId="0" fontId="0" fillId="0" borderId="57" xfId="0" applyBorder="1" applyProtection="1"/>
    <xf numFmtId="43" fontId="0" fillId="0" borderId="57" xfId="1" applyFont="1" applyBorder="1" applyProtection="1"/>
    <xf numFmtId="43" fontId="0" fillId="0" borderId="57" xfId="0" applyNumberFormat="1" applyBorder="1" applyProtection="1"/>
    <xf numFmtId="2" fontId="0" fillId="0" borderId="49" xfId="0" applyNumberFormat="1" applyBorder="1" applyProtection="1"/>
    <xf numFmtId="9" fontId="0" fillId="0" borderId="57" xfId="0" applyNumberFormat="1" applyBorder="1" applyProtection="1"/>
    <xf numFmtId="2" fontId="0" fillId="0" borderId="57" xfId="0" applyNumberFormat="1" applyBorder="1" applyProtection="1"/>
    <xf numFmtId="43" fontId="0" fillId="0" borderId="49" xfId="1" applyFont="1" applyBorder="1" applyProtection="1"/>
    <xf numFmtId="2" fontId="0" fillId="0" borderId="59" xfId="0" applyNumberFormat="1" applyBorder="1" applyProtection="1"/>
    <xf numFmtId="0" fontId="0" fillId="3" borderId="59" xfId="0" applyFill="1" applyBorder="1" applyProtection="1"/>
    <xf numFmtId="43" fontId="0" fillId="3" borderId="59" xfId="1" applyFont="1" applyFill="1" applyBorder="1" applyProtection="1"/>
    <xf numFmtId="43" fontId="0" fillId="3" borderId="57" xfId="0" applyNumberFormat="1" applyFill="1" applyBorder="1" applyProtection="1"/>
    <xf numFmtId="0" fontId="2" fillId="5" borderId="10" xfId="0" applyFont="1" applyFill="1" applyBorder="1" applyProtection="1"/>
    <xf numFmtId="0" fontId="2" fillId="5" borderId="21" xfId="0" applyFont="1" applyFill="1" applyBorder="1" applyAlignment="1" applyProtection="1">
      <alignment horizontal="right"/>
    </xf>
    <xf numFmtId="2" fontId="4" fillId="5" borderId="21" xfId="0" applyNumberFormat="1" applyFont="1" applyFill="1" applyBorder="1" applyProtection="1"/>
    <xf numFmtId="0" fontId="2" fillId="5" borderId="77" xfId="0" applyFont="1" applyFill="1" applyBorder="1" applyProtection="1"/>
    <xf numFmtId="0" fontId="2" fillId="5" borderId="78" xfId="0" applyFont="1" applyFill="1" applyBorder="1" applyAlignment="1" applyProtection="1">
      <alignment horizontal="right"/>
    </xf>
    <xf numFmtId="0" fontId="2" fillId="5" borderId="10" xfId="0" applyFont="1" applyFill="1" applyBorder="1" applyAlignment="1" applyProtection="1">
      <alignment vertical="center"/>
    </xf>
    <xf numFmtId="0" fontId="2" fillId="5" borderId="18" xfId="0" applyFont="1" applyFill="1" applyBorder="1" applyProtection="1"/>
    <xf numFmtId="0" fontId="2" fillId="5" borderId="17" xfId="0" applyFont="1" applyFill="1" applyBorder="1" applyAlignment="1" applyProtection="1">
      <alignment horizontal="right"/>
    </xf>
    <xf numFmtId="0" fontId="2" fillId="6" borderId="10" xfId="0" applyFont="1" applyFill="1" applyBorder="1" applyAlignment="1" applyProtection="1">
      <alignment horizontal="left" vertical="center" indent="1"/>
    </xf>
    <xf numFmtId="0" fontId="4" fillId="6" borderId="22" xfId="0" applyFont="1" applyFill="1" applyBorder="1" applyProtection="1"/>
    <xf numFmtId="0" fontId="4" fillId="6" borderId="21" xfId="0" applyFont="1" applyFill="1" applyBorder="1" applyProtection="1"/>
    <xf numFmtId="0" fontId="2" fillId="6" borderId="66" xfId="0" applyFont="1" applyFill="1" applyBorder="1" applyAlignment="1" applyProtection="1">
      <alignment vertical="center" wrapText="1"/>
    </xf>
    <xf numFmtId="0" fontId="2" fillId="6" borderId="66" xfId="0" applyFont="1" applyFill="1" applyBorder="1" applyAlignment="1" applyProtection="1">
      <alignment vertical="top" wrapText="1"/>
    </xf>
    <xf numFmtId="0" fontId="2" fillId="6" borderId="9" xfId="0" applyFont="1" applyFill="1" applyBorder="1" applyAlignment="1" applyProtection="1">
      <alignment vertical="top" wrapText="1"/>
    </xf>
    <xf numFmtId="0" fontId="2" fillId="6" borderId="70" xfId="0" applyFont="1" applyFill="1" applyBorder="1" applyAlignment="1" applyProtection="1">
      <alignment vertical="top" wrapText="1"/>
    </xf>
    <xf numFmtId="0" fontId="0" fillId="7" borderId="26" xfId="0" applyFill="1" applyBorder="1" applyAlignment="1" applyProtection="1">
      <alignment vertical="center"/>
      <protection locked="0"/>
    </xf>
    <xf numFmtId="0" fontId="0" fillId="7" borderId="39" xfId="0" applyFill="1" applyBorder="1" applyProtection="1"/>
    <xf numFmtId="43" fontId="0" fillId="7" borderId="38" xfId="1" applyFont="1" applyFill="1" applyBorder="1" applyProtection="1">
      <protection locked="0"/>
    </xf>
    <xf numFmtId="0" fontId="0" fillId="7" borderId="6" xfId="0" applyFill="1" applyBorder="1" applyAlignment="1" applyProtection="1">
      <alignment wrapText="1"/>
    </xf>
    <xf numFmtId="164" fontId="0" fillId="7" borderId="29" xfId="1" applyNumberFormat="1" applyFont="1" applyFill="1" applyBorder="1" applyAlignment="1" applyProtection="1">
      <alignment vertical="center"/>
      <protection locked="0"/>
    </xf>
    <xf numFmtId="0" fontId="0" fillId="7" borderId="6" xfId="0" applyFill="1" applyBorder="1" applyProtection="1"/>
    <xf numFmtId="43" fontId="0" fillId="7" borderId="29" xfId="1" applyFont="1" applyFill="1" applyBorder="1" applyProtection="1">
      <protection locked="0"/>
    </xf>
    <xf numFmtId="0" fontId="0" fillId="7" borderId="79" xfId="0" applyFill="1" applyBorder="1" applyAlignment="1" applyProtection="1">
      <alignment wrapText="1"/>
    </xf>
    <xf numFmtId="0" fontId="0" fillId="7" borderId="80" xfId="0" applyFill="1" applyBorder="1" applyAlignment="1" applyProtection="1">
      <alignment horizontal="right"/>
      <protection locked="0"/>
    </xf>
    <xf numFmtId="0" fontId="0" fillId="7" borderId="81" xfId="0" applyFill="1" applyBorder="1" applyAlignment="1" applyProtection="1">
      <alignment wrapText="1"/>
    </xf>
    <xf numFmtId="0" fontId="0" fillId="7" borderId="82" xfId="0" applyFill="1" applyBorder="1" applyAlignment="1" applyProtection="1">
      <alignment horizontal="right"/>
      <protection locked="0"/>
    </xf>
    <xf numFmtId="0" fontId="0" fillId="7" borderId="81" xfId="0" applyFill="1" applyBorder="1" applyAlignment="1" applyProtection="1">
      <alignment vertical="center"/>
    </xf>
    <xf numFmtId="0" fontId="0" fillId="7" borderId="83" xfId="0" applyFill="1" applyBorder="1" applyAlignment="1" applyProtection="1">
      <alignment wrapText="1"/>
    </xf>
    <xf numFmtId="0" fontId="0" fillId="7" borderId="84" xfId="0" applyFill="1" applyBorder="1" applyAlignment="1" applyProtection="1">
      <alignment horizontal="right"/>
      <protection locked="0"/>
    </xf>
    <xf numFmtId="0" fontId="0" fillId="7" borderId="88" xfId="0" applyFill="1" applyBorder="1" applyAlignment="1" applyProtection="1">
      <alignment horizontal="right" vertical="center"/>
      <protection locked="0"/>
    </xf>
    <xf numFmtId="0" fontId="0" fillId="7" borderId="81" xfId="0" applyFill="1" applyBorder="1" applyAlignment="1" applyProtection="1">
      <alignment vertical="center" wrapText="1"/>
    </xf>
    <xf numFmtId="9" fontId="0" fillId="7" borderId="82" xfId="2" applyFont="1" applyFill="1" applyBorder="1" applyAlignment="1" applyProtection="1">
      <alignment horizontal="right" vertical="center"/>
      <protection locked="0"/>
    </xf>
    <xf numFmtId="0" fontId="0" fillId="7" borderId="89" xfId="0" applyFont="1" applyFill="1" applyBorder="1" applyAlignment="1" applyProtection="1">
      <alignment vertical="center" wrapText="1"/>
    </xf>
    <xf numFmtId="0" fontId="0" fillId="7" borderId="90" xfId="1" applyNumberFormat="1" applyFont="1" applyFill="1" applyBorder="1" applyAlignment="1" applyProtection="1">
      <alignment horizontal="right" vertical="center"/>
      <protection locked="0"/>
    </xf>
    <xf numFmtId="0" fontId="0" fillId="7" borderId="39" xfId="0" applyFill="1" applyBorder="1" applyAlignment="1" applyProtection="1">
      <alignment vertical="center" wrapText="1"/>
    </xf>
    <xf numFmtId="0" fontId="0" fillId="7" borderId="28" xfId="0" applyFill="1" applyBorder="1" applyProtection="1"/>
    <xf numFmtId="164" fontId="0" fillId="7" borderId="41" xfId="1" applyNumberFormat="1" applyFont="1" applyFill="1" applyBorder="1" applyAlignment="1" applyProtection="1">
      <alignment vertical="center"/>
      <protection locked="0"/>
    </xf>
    <xf numFmtId="0" fontId="0" fillId="7" borderId="61" xfId="0" applyFill="1" applyBorder="1" applyAlignment="1" applyProtection="1">
      <alignment wrapText="1"/>
    </xf>
    <xf numFmtId="0" fontId="0" fillId="7" borderId="62" xfId="0" applyFill="1" applyBorder="1" applyAlignment="1" applyProtection="1">
      <alignment horizontal="right"/>
      <protection locked="0"/>
    </xf>
    <xf numFmtId="0" fontId="0" fillId="7" borderId="38" xfId="0" applyFill="1" applyBorder="1" applyAlignment="1" applyProtection="1">
      <alignment horizontal="right" vertical="center"/>
      <protection locked="0"/>
    </xf>
    <xf numFmtId="0" fontId="0" fillId="7" borderId="65" xfId="0" applyFill="1" applyBorder="1" applyAlignment="1" applyProtection="1">
      <alignment vertical="center" wrapText="1"/>
    </xf>
    <xf numFmtId="164" fontId="0" fillId="7" borderId="29" xfId="1" applyNumberFormat="1" applyFont="1" applyFill="1" applyBorder="1" applyAlignment="1" applyProtection="1">
      <alignment horizontal="right" vertical="center"/>
      <protection locked="0"/>
    </xf>
    <xf numFmtId="43" fontId="0" fillId="7" borderId="29" xfId="1" applyFont="1" applyFill="1" applyBorder="1" applyAlignment="1" applyProtection="1">
      <alignment horizontal="right" vertical="center"/>
      <protection locked="0"/>
    </xf>
    <xf numFmtId="0" fontId="0" fillId="7" borderId="64" xfId="0" applyFill="1" applyBorder="1" applyAlignment="1" applyProtection="1">
      <alignment vertical="center" wrapText="1"/>
      <protection locked="0"/>
    </xf>
    <xf numFmtId="0" fontId="2" fillId="5" borderId="10" xfId="0" applyFont="1" applyFill="1" applyBorder="1"/>
    <xf numFmtId="0" fontId="2" fillId="5" borderId="9" xfId="0" applyFont="1" applyFill="1" applyBorder="1"/>
    <xf numFmtId="0" fontId="40" fillId="0" borderId="18" xfId="0" applyFont="1" applyBorder="1" applyAlignment="1">
      <alignment horizontal="center"/>
    </xf>
    <xf numFmtId="0" fontId="41" fillId="0" borderId="17" xfId="0" applyFont="1" applyBorder="1"/>
    <xf numFmtId="0" fontId="40" fillId="0" borderId="0" xfId="0" applyFont="1" applyAlignment="1">
      <alignment horizontal="center"/>
    </xf>
    <xf numFmtId="4" fontId="9" fillId="5" borderId="45" xfId="0" applyNumberFormat="1" applyFont="1" applyFill="1" applyBorder="1" applyAlignment="1" applyProtection="1">
      <alignment vertical="center"/>
    </xf>
    <xf numFmtId="4" fontId="4" fillId="5" borderId="46" xfId="0" applyNumberFormat="1" applyFont="1" applyFill="1" applyBorder="1" applyProtection="1"/>
    <xf numFmtId="4" fontId="4" fillId="5" borderId="47" xfId="0" applyNumberFormat="1" applyFont="1" applyFill="1" applyBorder="1" applyProtection="1"/>
    <xf numFmtId="0" fontId="2" fillId="5" borderId="0" xfId="0" applyFont="1" applyFill="1" applyProtection="1"/>
    <xf numFmtId="4" fontId="19" fillId="7" borderId="48" xfId="0" applyNumberFormat="1" applyFont="1" applyFill="1" applyBorder="1" applyProtection="1"/>
    <xf numFmtId="4" fontId="0" fillId="7" borderId="50" xfId="0" applyNumberFormat="1" applyFill="1" applyBorder="1" applyProtection="1"/>
    <xf numFmtId="4" fontId="0" fillId="7" borderId="51" xfId="0" applyNumberFormat="1" applyFill="1" applyBorder="1" applyProtection="1"/>
    <xf numFmtId="4" fontId="3" fillId="7" borderId="49" xfId="0" applyNumberFormat="1" applyFont="1" applyFill="1" applyBorder="1" applyAlignment="1" applyProtection="1">
      <alignment horizontal="left"/>
    </xf>
    <xf numFmtId="0" fontId="0" fillId="7" borderId="49" xfId="0" applyFill="1" applyBorder="1" applyProtection="1"/>
    <xf numFmtId="0" fontId="3" fillId="7" borderId="52" xfId="0" applyFont="1" applyFill="1" applyBorder="1" applyAlignment="1" applyProtection="1">
      <alignment vertical="center" wrapText="1"/>
    </xf>
    <xf numFmtId="0" fontId="19" fillId="7" borderId="48" xfId="0" applyFont="1" applyFill="1" applyBorder="1" applyAlignment="1" applyProtection="1">
      <alignment wrapText="1"/>
    </xf>
    <xf numFmtId="0" fontId="19" fillId="7" borderId="50" xfId="0" applyFont="1" applyFill="1" applyBorder="1" applyAlignment="1" applyProtection="1">
      <alignment wrapText="1"/>
    </xf>
    <xf numFmtId="0" fontId="19" fillId="7" borderId="51" xfId="0" applyFont="1" applyFill="1" applyBorder="1" applyAlignment="1" applyProtection="1">
      <alignment wrapText="1"/>
    </xf>
    <xf numFmtId="0" fontId="19" fillId="7" borderId="52" xfId="0" applyFont="1" applyFill="1" applyBorder="1" applyAlignment="1" applyProtection="1">
      <alignment wrapText="1"/>
    </xf>
    <xf numFmtId="0" fontId="3" fillId="7" borderId="53" xfId="0" applyFont="1" applyFill="1" applyBorder="1" applyProtection="1"/>
    <xf numFmtId="0" fontId="19" fillId="7" borderId="53" xfId="0" applyFont="1" applyFill="1" applyBorder="1" applyAlignment="1" applyProtection="1">
      <alignment wrapText="1"/>
    </xf>
    <xf numFmtId="0" fontId="19" fillId="7" borderId="54" xfId="0" applyFont="1" applyFill="1" applyBorder="1" applyAlignment="1" applyProtection="1">
      <alignment wrapText="1"/>
    </xf>
    <xf numFmtId="0" fontId="19" fillId="7" borderId="55" xfId="0" applyFont="1" applyFill="1" applyBorder="1" applyAlignment="1" applyProtection="1">
      <alignment wrapText="1"/>
    </xf>
    <xf numFmtId="0" fontId="19" fillId="7" borderId="56" xfId="0" applyFont="1" applyFill="1" applyBorder="1" applyAlignment="1" applyProtection="1">
      <alignment wrapText="1"/>
    </xf>
    <xf numFmtId="0" fontId="3" fillId="7" borderId="48" xfId="0" applyFont="1" applyFill="1" applyBorder="1" applyAlignment="1" applyProtection="1">
      <alignment vertical="center"/>
    </xf>
    <xf numFmtId="0" fontId="19" fillId="7" borderId="50" xfId="0" applyFont="1" applyFill="1" applyBorder="1" applyProtection="1"/>
    <xf numFmtId="0" fontId="19" fillId="7" borderId="54" xfId="0" applyFont="1" applyFill="1" applyBorder="1" applyProtection="1"/>
    <xf numFmtId="0" fontId="0" fillId="7" borderId="53" xfId="0" applyFill="1" applyBorder="1" applyAlignment="1" applyProtection="1">
      <alignment horizontal="center" wrapText="1"/>
    </xf>
    <xf numFmtId="0" fontId="0" fillId="7" borderId="54" xfId="0" applyFill="1" applyBorder="1" applyAlignment="1" applyProtection="1">
      <alignment horizontal="center" wrapText="1"/>
    </xf>
    <xf numFmtId="0" fontId="0" fillId="7" borderId="55" xfId="0" applyFill="1" applyBorder="1" applyAlignment="1" applyProtection="1">
      <alignment horizontal="center" wrapText="1"/>
    </xf>
    <xf numFmtId="0" fontId="3" fillId="7" borderId="49" xfId="0" applyFont="1" applyFill="1" applyBorder="1" applyProtection="1"/>
    <xf numFmtId="0" fontId="3" fillId="7" borderId="57" xfId="0" applyFont="1" applyFill="1" applyBorder="1" applyProtection="1"/>
    <xf numFmtId="0" fontId="28" fillId="7" borderId="57" xfId="6" applyFont="1" applyFill="1" applyBorder="1" applyAlignment="1" applyProtection="1">
      <alignment horizontal="right"/>
    </xf>
    <xf numFmtId="0" fontId="28" fillId="7" borderId="57" xfId="6" applyFont="1" applyFill="1" applyBorder="1" applyProtection="1"/>
    <xf numFmtId="0" fontId="3" fillId="7" borderId="0" xfId="0" applyFont="1" applyFill="1" applyProtection="1"/>
    <xf numFmtId="0" fontId="3" fillId="7" borderId="47" xfId="0" applyFont="1" applyFill="1" applyBorder="1" applyProtection="1"/>
    <xf numFmtId="0" fontId="2" fillId="6" borderId="0" xfId="0" applyFont="1" applyFill="1"/>
    <xf numFmtId="0" fontId="2" fillId="6" borderId="25" xfId="0" applyFont="1" applyFill="1" applyBorder="1"/>
    <xf numFmtId="0" fontId="2" fillId="6" borderId="23" xfId="0" applyFont="1" applyFill="1" applyBorder="1"/>
    <xf numFmtId="0" fontId="34" fillId="5" borderId="0" xfId="0" applyFont="1" applyFill="1" applyAlignment="1">
      <alignment vertical="center"/>
    </xf>
    <xf numFmtId="0" fontId="7" fillId="5" borderId="0" xfId="0" applyFont="1" applyFill="1"/>
    <xf numFmtId="0" fontId="2" fillId="8" borderId="10" xfId="0" applyFont="1" applyFill="1" applyBorder="1"/>
    <xf numFmtId="0" fontId="35" fillId="8" borderId="21" xfId="0" applyFont="1" applyFill="1" applyBorder="1"/>
    <xf numFmtId="0" fontId="0" fillId="0" borderId="67" xfId="0" applyBorder="1" applyAlignment="1" applyProtection="1">
      <alignment vertical="top" wrapText="1"/>
    </xf>
    <xf numFmtId="0" fontId="0" fillId="0" borderId="68" xfId="0" applyBorder="1" applyAlignment="1" applyProtection="1">
      <alignment vertical="top" wrapText="1"/>
    </xf>
    <xf numFmtId="0" fontId="0" fillId="0" borderId="31" xfId="0" applyFill="1" applyBorder="1" applyAlignment="1" applyProtection="1">
      <alignment vertical="top" wrapText="1"/>
    </xf>
    <xf numFmtId="0" fontId="0" fillId="0" borderId="30" xfId="0" applyFill="1" applyBorder="1" applyAlignment="1" applyProtection="1">
      <alignment vertical="top" wrapText="1"/>
    </xf>
    <xf numFmtId="0" fontId="2" fillId="5" borderId="98" xfId="0" applyFont="1" applyFill="1" applyBorder="1" applyAlignment="1" applyProtection="1">
      <alignment horizontal="center" vertical="center" wrapText="1"/>
    </xf>
    <xf numFmtId="0" fontId="2" fillId="5" borderId="99" xfId="0" applyFont="1" applyFill="1" applyBorder="1" applyAlignment="1" applyProtection="1">
      <alignment horizontal="center" vertical="center" wrapText="1"/>
    </xf>
    <xf numFmtId="0" fontId="2" fillId="6" borderId="33" xfId="0" applyFont="1" applyFill="1" applyBorder="1" applyAlignment="1" applyProtection="1">
      <alignment horizontal="left" vertical="center" wrapText="1"/>
    </xf>
    <xf numFmtId="0" fontId="2" fillId="6" borderId="35" xfId="0" applyFont="1" applyFill="1" applyBorder="1" applyAlignment="1" applyProtection="1">
      <alignment horizontal="left" vertical="center" wrapText="1"/>
    </xf>
    <xf numFmtId="0" fontId="2" fillId="6" borderId="32" xfId="0" applyFont="1" applyFill="1" applyBorder="1" applyAlignment="1" applyProtection="1">
      <alignment horizontal="right" vertical="center"/>
    </xf>
    <xf numFmtId="0" fontId="2" fillId="6" borderId="34" xfId="0" applyFont="1" applyFill="1" applyBorder="1" applyAlignment="1" applyProtection="1">
      <alignment horizontal="right" vertical="center"/>
    </xf>
    <xf numFmtId="0" fontId="15" fillId="5" borderId="100" xfId="0" applyFont="1" applyFill="1" applyBorder="1" applyAlignment="1" applyProtection="1">
      <alignment horizontal="center"/>
    </xf>
    <xf numFmtId="0" fontId="15" fillId="5" borderId="101" xfId="0" applyFont="1" applyFill="1" applyBorder="1" applyAlignment="1" applyProtection="1">
      <alignment horizontal="center"/>
    </xf>
    <xf numFmtId="0" fontId="2" fillId="5" borderId="36" xfId="0" applyFont="1" applyFill="1" applyBorder="1" applyAlignment="1" applyProtection="1">
      <alignment horizontal="center" vertical="center" wrapText="1"/>
    </xf>
    <xf numFmtId="0" fontId="2" fillId="5" borderId="17" xfId="0" applyFont="1" applyFill="1" applyBorder="1" applyAlignment="1" applyProtection="1">
      <alignment horizontal="center" vertical="center" wrapText="1"/>
    </xf>
    <xf numFmtId="0" fontId="15" fillId="5" borderId="96" xfId="0" applyFont="1" applyFill="1" applyBorder="1" applyAlignment="1" applyProtection="1">
      <alignment horizontal="center"/>
    </xf>
    <xf numFmtId="0" fontId="15" fillId="5" borderId="97" xfId="0" applyFont="1" applyFill="1" applyBorder="1" applyAlignment="1" applyProtection="1">
      <alignment horizontal="center"/>
    </xf>
    <xf numFmtId="0" fontId="2" fillId="6" borderId="33" xfId="0" applyFont="1" applyFill="1" applyBorder="1" applyAlignment="1" applyProtection="1">
      <alignment horizontal="left" vertical="center"/>
    </xf>
    <xf numFmtId="0" fontId="2" fillId="6" borderId="35" xfId="0" applyFont="1" applyFill="1" applyBorder="1" applyAlignment="1" applyProtection="1">
      <alignment horizontal="left" vertical="center"/>
    </xf>
    <xf numFmtId="0" fontId="9" fillId="5" borderId="44" xfId="0" applyFont="1" applyFill="1" applyBorder="1" applyAlignment="1" applyProtection="1">
      <alignment horizontal="center" vertical="center"/>
    </xf>
    <xf numFmtId="0" fontId="0" fillId="0" borderId="15" xfId="0" applyBorder="1" applyAlignment="1" applyProtection="1">
      <alignment horizontal="left" vertical="center" wrapText="1" indent="2"/>
    </xf>
    <xf numFmtId="0" fontId="0" fillId="0" borderId="14" xfId="0" applyBorder="1" applyAlignment="1" applyProtection="1">
      <alignment horizontal="left" vertical="center" wrapText="1" indent="2"/>
    </xf>
    <xf numFmtId="0" fontId="0" fillId="0" borderId="13" xfId="0" applyBorder="1" applyAlignment="1" applyProtection="1">
      <alignment horizontal="left" vertical="center" wrapText="1" indent="2"/>
    </xf>
    <xf numFmtId="0" fontId="0" fillId="0" borderId="18" xfId="0" applyBorder="1" applyAlignment="1" applyProtection="1">
      <alignment horizontal="left" vertical="center" wrapText="1" indent="2"/>
    </xf>
    <xf numFmtId="0" fontId="0" fillId="0" borderId="0" xfId="0" applyBorder="1" applyAlignment="1" applyProtection="1">
      <alignment horizontal="left" vertical="center" wrapText="1" indent="2"/>
    </xf>
    <xf numFmtId="0" fontId="2" fillId="5" borderId="103" xfId="0" applyFont="1" applyFill="1" applyBorder="1" applyAlignment="1" applyProtection="1">
      <alignment horizontal="center" vertical="center"/>
    </xf>
    <xf numFmtId="0" fontId="2" fillId="5" borderId="102" xfId="0" applyFont="1" applyFill="1" applyBorder="1" applyAlignment="1" applyProtection="1">
      <alignment horizontal="center" vertical="center"/>
    </xf>
    <xf numFmtId="0" fontId="2" fillId="6" borderId="73" xfId="0" applyFont="1" applyFill="1" applyBorder="1" applyAlignment="1" applyProtection="1">
      <alignment horizontal="left" vertical="center"/>
    </xf>
    <xf numFmtId="0" fontId="2" fillId="6" borderId="75" xfId="0" applyFont="1" applyFill="1" applyBorder="1" applyAlignment="1" applyProtection="1">
      <alignment horizontal="left" vertical="center"/>
    </xf>
    <xf numFmtId="0" fontId="2" fillId="6" borderId="74" xfId="0" applyFont="1" applyFill="1" applyBorder="1" applyAlignment="1" applyProtection="1">
      <alignment horizontal="right" vertical="center"/>
    </xf>
    <xf numFmtId="0" fontId="2" fillId="6" borderId="76" xfId="0" applyFont="1" applyFill="1" applyBorder="1" applyAlignment="1" applyProtection="1">
      <alignment horizontal="right" vertical="center"/>
    </xf>
    <xf numFmtId="0" fontId="2" fillId="6" borderId="73" xfId="0" applyFont="1" applyFill="1" applyBorder="1" applyAlignment="1" applyProtection="1">
      <alignment horizontal="left" vertical="center" wrapText="1"/>
    </xf>
    <xf numFmtId="0" fontId="2" fillId="6" borderId="75" xfId="0" applyFont="1" applyFill="1" applyBorder="1" applyAlignment="1" applyProtection="1">
      <alignment horizontal="left" vertical="center" wrapText="1"/>
    </xf>
    <xf numFmtId="0" fontId="0" fillId="0" borderId="67" xfId="0" applyFill="1" applyBorder="1" applyAlignment="1" applyProtection="1">
      <alignment vertical="top" wrapText="1"/>
    </xf>
    <xf numFmtId="0" fontId="0" fillId="0" borderId="68" xfId="0" applyFill="1" applyBorder="1" applyAlignment="1" applyProtection="1">
      <alignment vertical="top" wrapText="1"/>
    </xf>
    <xf numFmtId="0" fontId="0" fillId="0" borderId="93" xfId="0" applyFill="1" applyBorder="1" applyAlignment="1" applyProtection="1">
      <alignment horizontal="left" vertical="top" wrapText="1"/>
    </xf>
    <xf numFmtId="0" fontId="0" fillId="0" borderId="94" xfId="0" applyFill="1" applyBorder="1" applyAlignment="1" applyProtection="1">
      <alignment horizontal="left" vertical="top" wrapText="1"/>
    </xf>
    <xf numFmtId="0" fontId="0" fillId="0" borderId="95" xfId="0" applyFill="1" applyBorder="1" applyAlignment="1" applyProtection="1">
      <alignment horizontal="left" vertical="top" wrapText="1"/>
    </xf>
    <xf numFmtId="0" fontId="9" fillId="5" borderId="0" xfId="0" applyFont="1" applyFill="1" applyAlignment="1">
      <alignment horizontal="center" vertical="center"/>
    </xf>
    <xf numFmtId="0" fontId="42" fillId="0" borderId="25" xfId="0" applyFont="1" applyBorder="1" applyAlignment="1">
      <alignment horizontal="center" vertical="center"/>
    </xf>
    <xf numFmtId="0" fontId="42" fillId="0" borderId="24" xfId="0" applyFont="1" applyBorder="1" applyAlignment="1">
      <alignment horizontal="center" vertical="center"/>
    </xf>
    <xf numFmtId="0" fontId="42" fillId="0" borderId="23" xfId="0" applyFont="1" applyBorder="1" applyAlignment="1">
      <alignment horizontal="center" vertical="center"/>
    </xf>
    <xf numFmtId="0" fontId="40" fillId="0" borderId="0" xfId="0" applyFont="1" applyAlignment="1">
      <alignment horizontal="center"/>
    </xf>
    <xf numFmtId="0" fontId="40" fillId="0" borderId="16" xfId="0" applyFont="1" applyBorder="1" applyAlignment="1">
      <alignment horizontal="center"/>
    </xf>
    <xf numFmtId="0" fontId="9" fillId="5" borderId="44" xfId="0" applyFont="1" applyFill="1" applyBorder="1" applyAlignment="1">
      <alignment horizontal="center" vertical="center"/>
    </xf>
    <xf numFmtId="0" fontId="21" fillId="3" borderId="49" xfId="4" applyFont="1" applyFill="1" applyBorder="1" applyAlignment="1" applyProtection="1">
      <alignment horizontal="center" vertical="top" wrapText="1"/>
    </xf>
  </cellXfs>
  <cellStyles count="7">
    <cellStyle name="Comma" xfId="1" builtinId="3"/>
    <cellStyle name="Hyperlink" xfId="3" builtinId="8"/>
    <cellStyle name="Normal" xfId="0" builtinId="0"/>
    <cellStyle name="Normal 2" xfId="6" xr:uid="{68A83E05-6DEC-4E89-8932-8275C88BB2B0}"/>
    <cellStyle name="Normal_Calc_Computer_product" xfId="4" xr:uid="{FA0D36C1-209E-46A3-A4F5-FBAEAA6513C5}"/>
    <cellStyle name="Normal_office equipment calculator - rough draft 110909" xfId="5" xr:uid="{09C0B64B-780B-4A32-A6D3-97B7F0C7E711}"/>
    <cellStyle name="Percent" xfId="2" builtinId="5"/>
  </cellStyles>
  <dxfs count="0"/>
  <tableStyles count="0" defaultTableStyle="TableStyleMedium2" defaultPivotStyle="PivotStyleLight16"/>
  <colors>
    <mruColors>
      <color rgb="FF876A91"/>
      <color rgb="FF434B68"/>
      <color rgb="FFD78C61"/>
      <color rgb="FF68B1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11.svg"/><Relationship Id="rId3" Type="http://schemas.openxmlformats.org/officeDocument/2006/relationships/image" Target="../media/image6.png"/><Relationship Id="rId7" Type="http://schemas.openxmlformats.org/officeDocument/2006/relationships/image" Target="../media/image10.png"/><Relationship Id="rId2" Type="http://schemas.openxmlformats.org/officeDocument/2006/relationships/image" Target="../media/image5.svg"/><Relationship Id="rId1" Type="http://schemas.openxmlformats.org/officeDocument/2006/relationships/image" Target="../media/image4.png"/><Relationship Id="rId6" Type="http://schemas.openxmlformats.org/officeDocument/2006/relationships/image" Target="../media/image9.svg"/><Relationship Id="rId11" Type="http://schemas.openxmlformats.org/officeDocument/2006/relationships/image" Target="../media/image3.png"/><Relationship Id="rId5" Type="http://schemas.openxmlformats.org/officeDocument/2006/relationships/image" Target="../media/image8.png"/><Relationship Id="rId10" Type="http://schemas.openxmlformats.org/officeDocument/2006/relationships/image" Target="../media/image2.svg"/><Relationship Id="rId4" Type="http://schemas.openxmlformats.org/officeDocument/2006/relationships/image" Target="../media/image7.svg"/><Relationship Id="rId9"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428625</xdr:colOff>
      <xdr:row>0</xdr:row>
      <xdr:rowOff>325755</xdr:rowOff>
    </xdr:from>
    <xdr:ext cx="2021205" cy="2045970"/>
    <xdr:pic>
      <xdr:nvPicPr>
        <xdr:cNvPr id="7" name="Graphic 6" descr="House">
          <a:extLst>
            <a:ext uri="{FF2B5EF4-FFF2-40B4-BE49-F238E27FC236}">
              <a16:creationId xmlns:a16="http://schemas.microsoft.com/office/drawing/2014/main" id="{F4610408-6B74-4358-90B7-8B85A66019A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28625" y="325755"/>
          <a:ext cx="2021205" cy="2045970"/>
        </a:xfrm>
        <a:prstGeom prst="rect">
          <a:avLst/>
        </a:prstGeom>
      </xdr:spPr>
    </xdr:pic>
    <xdr:clientData/>
  </xdr:oneCellAnchor>
  <xdr:twoCellAnchor editAs="oneCell">
    <xdr:from>
      <xdr:col>7</xdr:col>
      <xdr:colOff>76200</xdr:colOff>
      <xdr:row>0</xdr:row>
      <xdr:rowOff>19050</xdr:rowOff>
    </xdr:from>
    <xdr:to>
      <xdr:col>8</xdr:col>
      <xdr:colOff>288385</xdr:colOff>
      <xdr:row>0</xdr:row>
      <xdr:rowOff>640909</xdr:rowOff>
    </xdr:to>
    <xdr:pic>
      <xdr:nvPicPr>
        <xdr:cNvPr id="4" name="Picture 3">
          <a:extLst>
            <a:ext uri="{FF2B5EF4-FFF2-40B4-BE49-F238E27FC236}">
              <a16:creationId xmlns:a16="http://schemas.microsoft.com/office/drawing/2014/main" id="{C9728F2B-149B-4D9B-B7D6-DE9F91D40F1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916025" y="19050"/>
          <a:ext cx="678910" cy="6218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596265</xdr:colOff>
      <xdr:row>10</xdr:row>
      <xdr:rowOff>81915</xdr:rowOff>
    </xdr:from>
    <xdr:ext cx="910590" cy="859155"/>
    <xdr:pic>
      <xdr:nvPicPr>
        <xdr:cNvPr id="2" name="Graphic 1" descr="CO2">
          <a:extLst>
            <a:ext uri="{FF2B5EF4-FFF2-40B4-BE49-F238E27FC236}">
              <a16:creationId xmlns:a16="http://schemas.microsoft.com/office/drawing/2014/main" id="{BEC622EC-CEB8-4CA9-99EA-075EB41B6E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716655" y="18057495"/>
          <a:ext cx="910590" cy="859155"/>
        </a:xfrm>
        <a:prstGeom prst="rect">
          <a:avLst/>
        </a:prstGeom>
      </xdr:spPr>
    </xdr:pic>
    <xdr:clientData/>
  </xdr:oneCellAnchor>
  <xdr:oneCellAnchor>
    <xdr:from>
      <xdr:col>2</xdr:col>
      <xdr:colOff>2103120</xdr:colOff>
      <xdr:row>10</xdr:row>
      <xdr:rowOff>36195</xdr:rowOff>
    </xdr:from>
    <xdr:ext cx="982980" cy="861060"/>
    <xdr:pic>
      <xdr:nvPicPr>
        <xdr:cNvPr id="3" name="Graphic 2" descr="Dollar">
          <a:extLst>
            <a:ext uri="{FF2B5EF4-FFF2-40B4-BE49-F238E27FC236}">
              <a16:creationId xmlns:a16="http://schemas.microsoft.com/office/drawing/2014/main" id="{47576800-6C9F-49B8-A5C3-E33D628283E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229225" y="18009870"/>
          <a:ext cx="982980" cy="861060"/>
        </a:xfrm>
        <a:prstGeom prst="rect">
          <a:avLst/>
        </a:prstGeom>
      </xdr:spPr>
    </xdr:pic>
    <xdr:clientData/>
  </xdr:oneCellAnchor>
  <xdr:oneCellAnchor>
    <xdr:from>
      <xdr:col>5</xdr:col>
      <xdr:colOff>1983921</xdr:colOff>
      <xdr:row>10</xdr:row>
      <xdr:rowOff>57603</xdr:rowOff>
    </xdr:from>
    <xdr:ext cx="914400" cy="866775"/>
    <xdr:pic>
      <xdr:nvPicPr>
        <xdr:cNvPr id="4" name="Graphic 3" descr="Deciduous tree">
          <a:extLst>
            <a:ext uri="{FF2B5EF4-FFF2-40B4-BE49-F238E27FC236}">
              <a16:creationId xmlns:a16="http://schemas.microsoft.com/office/drawing/2014/main" id="{A53E31B0-8BDE-4957-B3FE-BE00B59E87E2}"/>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0775496" y="18027468"/>
          <a:ext cx="914400" cy="866775"/>
        </a:xfrm>
        <a:prstGeom prst="rect">
          <a:avLst/>
        </a:prstGeom>
      </xdr:spPr>
    </xdr:pic>
    <xdr:clientData/>
  </xdr:oneCellAnchor>
  <xdr:twoCellAnchor>
    <xdr:from>
      <xdr:col>2</xdr:col>
      <xdr:colOff>316230</xdr:colOff>
      <xdr:row>7</xdr:row>
      <xdr:rowOff>93346</xdr:rowOff>
    </xdr:from>
    <xdr:to>
      <xdr:col>4</xdr:col>
      <xdr:colOff>0</xdr:colOff>
      <xdr:row>8</xdr:row>
      <xdr:rowOff>153629</xdr:rowOff>
    </xdr:to>
    <xdr:sp macro="" textlink="">
      <xdr:nvSpPr>
        <xdr:cNvPr id="5" name="TextBox 4">
          <a:extLst>
            <a:ext uri="{FF2B5EF4-FFF2-40B4-BE49-F238E27FC236}">
              <a16:creationId xmlns:a16="http://schemas.microsoft.com/office/drawing/2014/main" id="{E0AB1B36-FB2E-4451-AA53-450BD106C1EC}"/>
            </a:ext>
          </a:extLst>
        </xdr:cNvPr>
        <xdr:cNvSpPr txBox="1"/>
      </xdr:nvSpPr>
      <xdr:spPr>
        <a:xfrm>
          <a:off x="3358085" y="2182701"/>
          <a:ext cx="5183689" cy="306089"/>
        </a:xfrm>
        <a:prstGeom prst="rect">
          <a:avLst/>
        </a:prstGeom>
        <a:solidFill>
          <a:srgbClr val="D78C6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1">
              <a:solidFill>
                <a:srgbClr val="434B68"/>
              </a:solidFill>
            </a:rPr>
            <a:t>You saved your home</a:t>
          </a:r>
        </a:p>
      </xdr:txBody>
    </xdr:sp>
    <xdr:clientData/>
  </xdr:twoCellAnchor>
  <xdr:oneCellAnchor>
    <xdr:from>
      <xdr:col>3</xdr:col>
      <xdr:colOff>419100</xdr:colOff>
      <xdr:row>10</xdr:row>
      <xdr:rowOff>38100</xdr:rowOff>
    </xdr:from>
    <xdr:ext cx="916305" cy="866775"/>
    <xdr:pic>
      <xdr:nvPicPr>
        <xdr:cNvPr id="8" name="Graphic 7" descr="Water">
          <a:extLst>
            <a:ext uri="{FF2B5EF4-FFF2-40B4-BE49-F238E27FC236}">
              <a16:creationId xmlns:a16="http://schemas.microsoft.com/office/drawing/2014/main" id="{C8BFEFA4-45EB-4D05-AFEB-D9EC82FE7B64}"/>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7258050" y="18011775"/>
          <a:ext cx="916305" cy="866775"/>
        </a:xfrm>
        <a:prstGeom prst="rect">
          <a:avLst/>
        </a:prstGeom>
      </xdr:spPr>
    </xdr:pic>
    <xdr:clientData/>
  </xdr:oneCellAnchor>
  <xdr:oneCellAnchor>
    <xdr:from>
      <xdr:col>0</xdr:col>
      <xdr:colOff>268605</xdr:colOff>
      <xdr:row>0</xdr:row>
      <xdr:rowOff>312420</xdr:rowOff>
    </xdr:from>
    <xdr:ext cx="2021205" cy="2045970"/>
    <xdr:pic>
      <xdr:nvPicPr>
        <xdr:cNvPr id="9" name="Graphic 8" descr="House">
          <a:extLst>
            <a:ext uri="{FF2B5EF4-FFF2-40B4-BE49-F238E27FC236}">
              <a16:creationId xmlns:a16="http://schemas.microsoft.com/office/drawing/2014/main" id="{45666943-7F5A-479F-9647-C649F008A9DA}"/>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268605" y="312420"/>
          <a:ext cx="2021205" cy="2045970"/>
        </a:xfrm>
        <a:prstGeom prst="rect">
          <a:avLst/>
        </a:prstGeom>
      </xdr:spPr>
    </xdr:pic>
    <xdr:clientData/>
  </xdr:oneCellAnchor>
  <xdr:twoCellAnchor editAs="oneCell">
    <xdr:from>
      <xdr:col>7</xdr:col>
      <xdr:colOff>71887</xdr:colOff>
      <xdr:row>0</xdr:row>
      <xdr:rowOff>0</xdr:rowOff>
    </xdr:from>
    <xdr:to>
      <xdr:col>8</xdr:col>
      <xdr:colOff>284071</xdr:colOff>
      <xdr:row>0</xdr:row>
      <xdr:rowOff>621859</xdr:rowOff>
    </xdr:to>
    <xdr:pic>
      <xdr:nvPicPr>
        <xdr:cNvPr id="10" name="Picture 9">
          <a:extLst>
            <a:ext uri="{FF2B5EF4-FFF2-40B4-BE49-F238E27FC236}">
              <a16:creationId xmlns:a16="http://schemas.microsoft.com/office/drawing/2014/main" id="{3E906BA3-E221-4687-BB20-C93B98BB82E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442830" y="0"/>
          <a:ext cx="679449" cy="6218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hyperlink" Target="http://www.remanufacturing.org.uk/pdf/story/1p265.pdf" TargetMode="External"/><Relationship Id="rId21" Type="http://schemas.openxmlformats.org/officeDocument/2006/relationships/hyperlink" Target="https://www.epa.gov/sites/production/files/2019-06/documents/warm_v15_management_practices.pdf" TargetMode="External"/><Relationship Id="rId42" Type="http://schemas.openxmlformats.org/officeDocument/2006/relationships/hyperlink" Target="https://homeguides.sfgate.com/long-before-plant-starts-grow-tomatoes-59989.html" TargetMode="External"/><Relationship Id="rId47" Type="http://schemas.openxmlformats.org/officeDocument/2006/relationships/hyperlink" Target="https://www.edf.org/attention-drivers-turn-your-idling-engines" TargetMode="External"/><Relationship Id="rId63" Type="http://schemas.openxmlformats.org/officeDocument/2006/relationships/hyperlink" Target="http://www.12000raingardens.org/about-rain-gardens/benefits/" TargetMode="External"/><Relationship Id="rId68" Type="http://schemas.openxmlformats.org/officeDocument/2006/relationships/hyperlink" Target="https://www.watercalculator.org/save-water/outdoor-water-leaks/" TargetMode="External"/><Relationship Id="rId84" Type="http://schemas.openxmlformats.org/officeDocument/2006/relationships/hyperlink" Target="https://www.fueleconomy.gov/feg/PowerSearch.do?action=noform&amp;path=3&amp;year1=2017&amp;year2=2018&amp;vtype=Hybrid&amp;srchtyp=newAfv&amp;pageno=1&amp;sortBy=Comb&amp;tabView=0&amp;rowLimit=10" TargetMode="External"/><Relationship Id="rId89" Type="http://schemas.openxmlformats.org/officeDocument/2006/relationships/hyperlink" Target="https://www.waste360.com/mag/waste_profiles_garbage_aseptic" TargetMode="External"/><Relationship Id="rId16" Type="http://schemas.openxmlformats.org/officeDocument/2006/relationships/hyperlink" Target="https://www.papersizes.org/weight-of-sheets.htm" TargetMode="External"/><Relationship Id="rId107" Type="http://schemas.openxmlformats.org/officeDocument/2006/relationships/vmlDrawing" Target="../drawings/vmlDrawing1.vml"/><Relationship Id="rId11" Type="http://schemas.openxmlformats.org/officeDocument/2006/relationships/hyperlink" Target="https://www.plasticpollutioncoalition.org/pft/2015/11/17/plastic-pollution-and-climate-change" TargetMode="External"/><Relationship Id="rId32" Type="http://schemas.openxmlformats.org/officeDocument/2006/relationships/hyperlink" Target="http://irrigation.wsu.edu/Content/Calculators/Residential/Tree-Water-Management.php" TargetMode="External"/><Relationship Id="rId37" Type="http://schemas.openxmlformats.org/officeDocument/2006/relationships/hyperlink" Target="https://www.theecologycenter.org/6-proven-reasons-to-have-a-native-garden/" TargetMode="External"/><Relationship Id="rId53" Type="http://schemas.openxmlformats.org/officeDocument/2006/relationships/hyperlink" Target="http://www.ed-data.org/district/San-Diego/San-Diego-Unified" TargetMode="External"/><Relationship Id="rId58" Type="http://schemas.openxmlformats.org/officeDocument/2006/relationships/hyperlink" Target="https://www.bls.gov/regions/mid-atlantic/data/averageretailfoodandenergyprices_usandmidwest_table.htm" TargetMode="External"/><Relationship Id="rId74" Type="http://schemas.openxmlformats.org/officeDocument/2006/relationships/hyperlink" Target="https://www.bts.gov/content/average-fuel-efficiency-us-passenger-cars-and-light-trucks" TargetMode="External"/><Relationship Id="rId79" Type="http://schemas.openxmlformats.org/officeDocument/2006/relationships/hyperlink" Target="https://www.schoolbusfleet.com/article/611951/why-miles-matter" TargetMode="External"/><Relationship Id="rId102" Type="http://schemas.openxmlformats.org/officeDocument/2006/relationships/hyperlink" Target="https://www.pse.com/-/media/Project/PSE/Portal/Rate-documents/summ_gas_prices_2020_05_01.pdf" TargetMode="External"/><Relationship Id="rId5" Type="http://schemas.openxmlformats.org/officeDocument/2006/relationships/hyperlink" Target="https://www.usailighting.com/stuff/contentmgr/files/1/92ffeb328de0f4878257999e7d46d6e4/misc/lighting_comparison_chart.pdf" TargetMode="External"/><Relationship Id="rId90" Type="http://schemas.openxmlformats.org/officeDocument/2006/relationships/hyperlink" Target="https://www.genpak.com/product/school-lunch-trays/" TargetMode="External"/><Relationship Id="rId95" Type="http://schemas.openxmlformats.org/officeDocument/2006/relationships/hyperlink" Target="https://www.almanac.com/content/when-water-your-vegetable-garden-watering-chart" TargetMode="External"/><Relationship Id="rId22" Type="http://schemas.openxmlformats.org/officeDocument/2006/relationships/hyperlink" Target="https://www.epa.gov/sites/production/files/2019-06/documents/warm_v15_management_practices.pdf" TargetMode="External"/><Relationship Id="rId27" Type="http://schemas.openxmlformats.org/officeDocument/2006/relationships/hyperlink" Target="http://www.remanufacturing.org.uk/pdf/story/1p265.pdf" TargetMode="External"/><Relationship Id="rId43" Type="http://schemas.openxmlformats.org/officeDocument/2006/relationships/hyperlink" Target="http://www.nbcnews.com/id/29708619/ns/business-personal_finance/t/economy-turns-gardening-growth-industry/" TargetMode="External"/><Relationship Id="rId48" Type="http://schemas.openxmlformats.org/officeDocument/2006/relationships/hyperlink" Target="https://gasprices.aaa.com/?state=WA" TargetMode="External"/><Relationship Id="rId64" Type="http://schemas.openxmlformats.org/officeDocument/2006/relationships/hyperlink" Target="https://www.epa.gov/watersense/bathroom-faucets" TargetMode="External"/><Relationship Id="rId69" Type="http://schemas.openxmlformats.org/officeDocument/2006/relationships/hyperlink" Target="https://www.epa.gov/watersense/fix-leak-week" TargetMode="External"/><Relationship Id="rId80" Type="http://schemas.openxmlformats.org/officeDocument/2006/relationships/hyperlink" Target="https://afdc.energy.gov/data/10310" TargetMode="External"/><Relationship Id="rId85" Type="http://schemas.openxmlformats.org/officeDocument/2006/relationships/hyperlink" Target="https://www.thepennyhoarder.com/save-money/how-to-save-water-and-money-with-your-toilet/" TargetMode="External"/><Relationship Id="rId12" Type="http://schemas.openxmlformats.org/officeDocument/2006/relationships/hyperlink" Target="https://composting.ces.ncsu.edu/wp-content/uploads/2017/04/vermicomposting_earthworms_q_a-2017.pdf?fwd=no" TargetMode="External"/><Relationship Id="rId17" Type="http://schemas.openxmlformats.org/officeDocument/2006/relationships/hyperlink" Target="http://www.officexpress.co.uk/paper-guide/" TargetMode="External"/><Relationship Id="rId33" Type="http://schemas.openxmlformats.org/officeDocument/2006/relationships/hyperlink" Target="https://ucanr.edu/sites/UrbanHort/files/80212.pdf" TargetMode="External"/><Relationship Id="rId38" Type="http://schemas.openxmlformats.org/officeDocument/2006/relationships/hyperlink" Target="https://homeguides.sfgate.com/average-yield-tomato-plant-60969.html" TargetMode="External"/><Relationship Id="rId59" Type="http://schemas.openxmlformats.org/officeDocument/2006/relationships/hyperlink" Target="http://www.12000raingardens.org/about-rain-gardens/benefits/" TargetMode="External"/><Relationship Id="rId103" Type="http://schemas.openxmlformats.org/officeDocument/2006/relationships/hyperlink" Target="https://www.nahbclassic.org/fileUpload_details.aspx?contentTypeID=3&amp;contentID=237901&amp;subContentID=623070" TargetMode="External"/><Relationship Id="rId108" Type="http://schemas.openxmlformats.org/officeDocument/2006/relationships/comments" Target="../comments1.xml"/><Relationship Id="rId20" Type="http://schemas.openxmlformats.org/officeDocument/2006/relationships/hyperlink" Target="https://www.epa.gov/sites/production/files/2019-06/documents/warm_v15_management_practices.pdf" TargetMode="External"/><Relationship Id="rId41" Type="http://schemas.openxmlformats.org/officeDocument/2006/relationships/hyperlink" Target="https://www.towergarden.com/blog.read.html/en/2015/4/5_research-backedbe.html" TargetMode="External"/><Relationship Id="rId54" Type="http://schemas.openxmlformats.org/officeDocument/2006/relationships/hyperlink" Target="https://www.fns.usda.gov/school-meals/certification-compliance-worksheets-5-day-schedule" TargetMode="External"/><Relationship Id="rId62" Type="http://schemas.openxmlformats.org/officeDocument/2006/relationships/hyperlink" Target="https://ag.umass.edu/landscape/fact-sheets/rain-gardens-way-to-improve-water-quality" TargetMode="External"/><Relationship Id="rId70" Type="http://schemas.openxmlformats.org/officeDocument/2006/relationships/hyperlink" Target="https://www.thepennyhoarder.com/save-money/how-to-save-water-and-money-with-your-toilet/" TargetMode="External"/><Relationship Id="rId75" Type="http://schemas.openxmlformats.org/officeDocument/2006/relationships/hyperlink" Target="https://www.bts.gov/content/average-fuel-efficiency-us-passenger-cars-and-light-trucks" TargetMode="External"/><Relationship Id="rId83" Type="http://schemas.openxmlformats.org/officeDocument/2006/relationships/hyperlink" Target="https://www.bts.gov/content/average-fuel-efficiency-us-passenger-cars-and-light-trucks" TargetMode="External"/><Relationship Id="rId88" Type="http://schemas.openxmlformats.org/officeDocument/2006/relationships/hyperlink" Target="https://www.thepennyhoarder.com/save-money/how-to-save-water-and-money-with-your-toilet/" TargetMode="External"/><Relationship Id="rId91" Type="http://schemas.openxmlformats.org/officeDocument/2006/relationships/hyperlink" Target="https://www.webstaurantstore.com/genpak-10500-10-3-8-x-8-3-8-x-1-3-16-5-compartment-white-foam-school-tray-case/37410500%20%20%20%20WHITE.html" TargetMode="External"/><Relationship Id="rId96" Type="http://schemas.openxmlformats.org/officeDocument/2006/relationships/hyperlink" Target="https://blog.epa.gov/2014/04/23/earth-month-tip-turn-off-the-tap/" TargetMode="External"/><Relationship Id="rId1" Type="http://schemas.openxmlformats.org/officeDocument/2006/relationships/hyperlink" Target="https://www.eia.gov/electricity/data/browser/" TargetMode="External"/><Relationship Id="rId6" Type="http://schemas.openxmlformats.org/officeDocument/2006/relationships/hyperlink" Target="https://nces.ed.gov/programs/statereform/tab5_14.asp" TargetMode="External"/><Relationship Id="rId15" Type="http://schemas.openxmlformats.org/officeDocument/2006/relationships/hyperlink" Target="https://c.environmentalpaper.org/individual.html" TargetMode="External"/><Relationship Id="rId23" Type="http://schemas.openxmlformats.org/officeDocument/2006/relationships/hyperlink" Target="http://www.wm.com/location/california/bay_area/castrovalley/commercial/rates.jsp" TargetMode="External"/><Relationship Id="rId28" Type="http://schemas.openxmlformats.org/officeDocument/2006/relationships/hyperlink" Target="https://www.cartridgeworld.com/how-much-are-printer-ink-and-toner-costing-you/" TargetMode="External"/><Relationship Id="rId36" Type="http://schemas.openxmlformats.org/officeDocument/2006/relationships/hyperlink" Target="https://19january2017snapshot.epa.gov/www3/watersense/commercial/docs/factsheets/education_fact_sheet_508.pdf" TargetMode="External"/><Relationship Id="rId49" Type="http://schemas.openxmlformats.org/officeDocument/2006/relationships/hyperlink" Target="https://www.govinfo.gov/content/pkg/FR-1998-09-11/pdf/98-22660.pdf" TargetMode="External"/><Relationship Id="rId57" Type="http://schemas.openxmlformats.org/officeDocument/2006/relationships/hyperlink" Target="https://www.bls.gov/regions/mid-atlantic/data/averageretailfoodandenergyprices_usandmidwest_table.htm" TargetMode="External"/><Relationship Id="rId106" Type="http://schemas.openxmlformats.org/officeDocument/2006/relationships/printerSettings" Target="../printerSettings/printerSettings3.bin"/><Relationship Id="rId10" Type="http://schemas.openxmlformats.org/officeDocument/2006/relationships/hyperlink" Target="http://www.petresin.org/news_didyouknow.asp" TargetMode="External"/><Relationship Id="rId31" Type="http://schemas.openxmlformats.org/officeDocument/2006/relationships/hyperlink" Target="https://www.ksre.k-state.edu/irrigate/reports/Klocke.pdf" TargetMode="External"/><Relationship Id="rId44" Type="http://schemas.openxmlformats.org/officeDocument/2006/relationships/hyperlink" Target="https://greencleaningproductsllc.com/consider-vocs-when-going-for-the-best-commercial-cleaning-products/" TargetMode="External"/><Relationship Id="rId52" Type="http://schemas.openxmlformats.org/officeDocument/2006/relationships/hyperlink" Target="https://www.youtube.com/watch?v=RzZ76-KVVOA" TargetMode="External"/><Relationship Id="rId60" Type="http://schemas.openxmlformats.org/officeDocument/2006/relationships/hyperlink" Target="https://www.asla.org/raingardens.aspx" TargetMode="External"/><Relationship Id="rId65" Type="http://schemas.openxmlformats.org/officeDocument/2006/relationships/hyperlink" Target="https://www.epa.gov/watersense/bathroom-faucets" TargetMode="External"/><Relationship Id="rId73" Type="http://schemas.openxmlformats.org/officeDocument/2006/relationships/hyperlink" Target="https://www.badeloftusa.com/ideas/how-much-does-bathtub-hold/" TargetMode="External"/><Relationship Id="rId78" Type="http://schemas.openxmlformats.org/officeDocument/2006/relationships/hyperlink" Target="https://wsdot.wa.gov/sites/default/files/2009/01/09/ATP_WA-2016-Student-Travel-Survey-Report.pdf" TargetMode="External"/><Relationship Id="rId81" Type="http://schemas.openxmlformats.org/officeDocument/2006/relationships/hyperlink" Target="https://www.lowcvp.org.uk/Hubs/leb/LEBTechnologies/leb-hybrid.htm" TargetMode="External"/><Relationship Id="rId86" Type="http://schemas.openxmlformats.org/officeDocument/2006/relationships/hyperlink" Target="https://gasprices.aaa.com/?state=WA" TargetMode="External"/><Relationship Id="rId94" Type="http://schemas.openxmlformats.org/officeDocument/2006/relationships/hyperlink" Target="https://www.groworganic.com/organic-gardening/articles/water-conservation-tips-in-vegetable-gardens" TargetMode="External"/><Relationship Id="rId99" Type="http://schemas.openxmlformats.org/officeDocument/2006/relationships/hyperlink" Target="https://www.census-charts.com/HF/Washington.html" TargetMode="External"/><Relationship Id="rId101" Type="http://schemas.openxmlformats.org/officeDocument/2006/relationships/hyperlink" Target="https://www.bobvila.com/slideshow/this-is-the-average-home-size-in-every-state-53461" TargetMode="External"/><Relationship Id="rId4" Type="http://schemas.openxmlformats.org/officeDocument/2006/relationships/hyperlink" Target="https://www.energy.gov/sites/prod/files/2017/10/f37/2017_gateway_tuning-classroom_0.pdf" TargetMode="External"/><Relationship Id="rId9" Type="http://schemas.openxmlformats.org/officeDocument/2006/relationships/hyperlink" Target="https://www.energuide.be/en/questions-answers/how-much-power-does-a-computer-use-and-how-much-co2-does-that-represent/54/" TargetMode="External"/><Relationship Id="rId13" Type="http://schemas.openxmlformats.org/officeDocument/2006/relationships/hyperlink" Target="https://c.environmentalpaper.org/individual.html" TargetMode="External"/><Relationship Id="rId18" Type="http://schemas.openxmlformats.org/officeDocument/2006/relationships/hyperlink" Target="https://c.environmentalpaper.org/individual.html" TargetMode="External"/><Relationship Id="rId39" Type="http://schemas.openxmlformats.org/officeDocument/2006/relationships/hyperlink" Target="https://www.nasa.gov/vision/earth/technologies/aeroponic_plants.html" TargetMode="External"/><Relationship Id="rId34" Type="http://schemas.openxmlformats.org/officeDocument/2006/relationships/hyperlink" Target="http://www.seattle.gov/utilities/services/rates/water-rates/residential-water-rates" TargetMode="External"/><Relationship Id="rId50" Type="http://schemas.openxmlformats.org/officeDocument/2006/relationships/hyperlink" Target="https://www.epa.gov/sites/production/files/2018-03/documents/emission-factors_mar_2018_0.pdf" TargetMode="External"/><Relationship Id="rId55" Type="http://schemas.openxmlformats.org/officeDocument/2006/relationships/hyperlink" Target="http://trophiccascades.forestry.oregonstate.edu/sites/trophic/files/Beans_for_Beef.pdf" TargetMode="External"/><Relationship Id="rId76" Type="http://schemas.openxmlformats.org/officeDocument/2006/relationships/hyperlink" Target="https://gasprices.aaa.com/?state=WA" TargetMode="External"/><Relationship Id="rId97" Type="http://schemas.openxmlformats.org/officeDocument/2006/relationships/hyperlink" Target="https://www.epa.gov/energy/greenhouse-gases-equivalencies-calculator-calculations-and-references" TargetMode="External"/><Relationship Id="rId104" Type="http://schemas.openxmlformats.org/officeDocument/2006/relationships/hyperlink" Target="https://sustainability.ncsu.edu/blog/changeyourstate/6-times-you-should-turn-off-the-tap-to-save-water/" TargetMode="External"/><Relationship Id="rId7" Type="http://schemas.openxmlformats.org/officeDocument/2006/relationships/hyperlink" Target="https://www.energuide.be/en/questions-answers/how-much-power-does-a-computer-use-and-how-much-co2-does-that-represent/54/" TargetMode="External"/><Relationship Id="rId71" Type="http://schemas.openxmlformats.org/officeDocument/2006/relationships/hyperlink" Target="https://www.thepennyhoarder.com/save-money/how-to-save-water-and-money-with-your-toilet/" TargetMode="External"/><Relationship Id="rId92" Type="http://schemas.openxmlformats.org/officeDocument/2006/relationships/hyperlink" Target="https://www.webstaurantstore.com/carlisle-kl44485-4-compartment-dark-cranberry-melamine-tray-11-x-8-11-16/271KL444GRNT.html" TargetMode="External"/><Relationship Id="rId2" Type="http://schemas.openxmlformats.org/officeDocument/2006/relationships/hyperlink" Target="https://nces.ed.gov/programs/statereform/tab5_14.asp" TargetMode="External"/><Relationship Id="rId29" Type="http://schemas.openxmlformats.org/officeDocument/2006/relationships/hyperlink" Target="http://irrigation.wsu.edu/Content/Calculators/Residential/Tree-Water-Management.php" TargetMode="External"/><Relationship Id="rId24" Type="http://schemas.openxmlformats.org/officeDocument/2006/relationships/hyperlink" Target="https://www.huffpost.com/entry/reusable-waste-free-lunch_b_5634600" TargetMode="External"/><Relationship Id="rId40" Type="http://schemas.openxmlformats.org/officeDocument/2006/relationships/hyperlink" Target="https://living.thebump.com/many-gallons-water-should-fullsized-tomato-plant-need-week-11140.html" TargetMode="External"/><Relationship Id="rId45" Type="http://schemas.openxmlformats.org/officeDocument/2006/relationships/hyperlink" Target="https://www.target.com/p/pine-sol-multi-surface-cleaner-original-100-oz/-/A-12969917" TargetMode="External"/><Relationship Id="rId66" Type="http://schemas.openxmlformats.org/officeDocument/2006/relationships/hyperlink" Target="https://www.chandleraz.gov/residents/water/water-conservation/education-and-resources/indoor-water-conservation-tips?pageid=710" TargetMode="External"/><Relationship Id="rId87" Type="http://schemas.openxmlformats.org/officeDocument/2006/relationships/hyperlink" Target="https://odetoclean.com/blogs/fresh-air/which-cleaning-products-are-polluting-your-home-the-most" TargetMode="External"/><Relationship Id="rId61" Type="http://schemas.openxmlformats.org/officeDocument/2006/relationships/hyperlink" Target="https://www.asla.org/raingardens.aspx" TargetMode="External"/><Relationship Id="rId82" Type="http://schemas.openxmlformats.org/officeDocument/2006/relationships/hyperlink" Target="https://afdc.energy.gov/data/10309" TargetMode="External"/><Relationship Id="rId19" Type="http://schemas.openxmlformats.org/officeDocument/2006/relationships/hyperlink" Target="https://www.officedepot.com/a/browse/copy-and-multipurpose-paper/N=5+530730&amp;cbxRefine=553630&amp;cbxRefine=722807/" TargetMode="External"/><Relationship Id="rId14" Type="http://schemas.openxmlformats.org/officeDocument/2006/relationships/hyperlink" Target="https://c.environmentalpaper.org/individual.html" TargetMode="External"/><Relationship Id="rId30" Type="http://schemas.openxmlformats.org/officeDocument/2006/relationships/hyperlink" Target="https://pnwisa.org/tree-care/maintenance/providing-water-nutrients/" TargetMode="External"/><Relationship Id="rId35" Type="http://schemas.openxmlformats.org/officeDocument/2006/relationships/hyperlink" Target="https://unclejimswormfarm.com/how-much-feed-composting-worms/" TargetMode="External"/><Relationship Id="rId56" Type="http://schemas.openxmlformats.org/officeDocument/2006/relationships/hyperlink" Target="http://trophiccascades.forestry.oregonstate.edu/sites/trophic/files/Beans_for_Beef.pdf" TargetMode="External"/><Relationship Id="rId77" Type="http://schemas.openxmlformats.org/officeDocument/2006/relationships/hyperlink" Target="https://www.epa.gov/sites/production/files/2018-03/documents/emission-factors_mar_2018_0.pdf" TargetMode="External"/><Relationship Id="rId100" Type="http://schemas.openxmlformats.org/officeDocument/2006/relationships/hyperlink" Target="https://www.eia.gov/state/print.php?sid=WA" TargetMode="External"/><Relationship Id="rId105" Type="http://schemas.openxmlformats.org/officeDocument/2006/relationships/hyperlink" Target="https://www.epa.gov/sites/production/files/2016-04/documents/volume_to_weight_conversion_factors_memorandum_04192016_508fnl.pdf" TargetMode="External"/><Relationship Id="rId8" Type="http://schemas.openxmlformats.org/officeDocument/2006/relationships/hyperlink" Target="https://www.energuide.be/en/questions-answers/how-much-power-does-a-computer-use-and-how-much-co2-does-that-represent/54/" TargetMode="External"/><Relationship Id="rId51" Type="http://schemas.openxmlformats.org/officeDocument/2006/relationships/hyperlink" Target="https://www.youtube.com/watch?v=RzZ76-KVVOA" TargetMode="External"/><Relationship Id="rId72" Type="http://schemas.openxmlformats.org/officeDocument/2006/relationships/hyperlink" Target="https://www.currentresults.com/Weather/Washington/average-yearly-precipitation.php" TargetMode="External"/><Relationship Id="rId93" Type="http://schemas.openxmlformats.org/officeDocument/2006/relationships/hyperlink" Target="http://www.petresin.org/news_didyouknow.asp" TargetMode="External"/><Relationship Id="rId98" Type="http://schemas.openxmlformats.org/officeDocument/2006/relationships/hyperlink" Target="https://www.eia.gov/dnav/ng/ng_cons_sum_dcu_SWA_a.htm" TargetMode="External"/><Relationship Id="rId3" Type="http://schemas.openxmlformats.org/officeDocument/2006/relationships/hyperlink" Target="https://www.currentbyge.com/ideas/cfl-vs-halogen-vs-led" TargetMode="External"/><Relationship Id="rId25" Type="http://schemas.openxmlformats.org/officeDocument/2006/relationships/hyperlink" Target="https://www.jeffjournal.org/papers/Volume7/7.1.3Muthu.pdf" TargetMode="External"/><Relationship Id="rId46" Type="http://schemas.openxmlformats.org/officeDocument/2006/relationships/hyperlink" Target="https://www.target.com/p/white-vinegar-128oz-market-pantry-153/-/A-15295279" TargetMode="External"/><Relationship Id="rId67" Type="http://schemas.openxmlformats.org/officeDocument/2006/relationships/hyperlink" Target="https://www.epa.gov/watersense/fix-leak-week"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mondaycampaigns.org/meatless-monday/package/meatless-monday-activities-for-kids-of-all-ages-environment" TargetMode="External"/><Relationship Id="rId13" Type="http://schemas.openxmlformats.org/officeDocument/2006/relationships/hyperlink" Target="https://kidsgardening.wpengine.com/wp-content/uploads/2016/03/KG_designingaschoolgarden-raisedbeds101.pdf" TargetMode="External"/><Relationship Id="rId3" Type="http://schemas.openxmlformats.org/officeDocument/2006/relationships/hyperlink" Target="https://www.ngridenergyworld.com/activities/66102_energy_tip_cards/index.html" TargetMode="External"/><Relationship Id="rId7" Type="http://schemas.openxmlformats.org/officeDocument/2006/relationships/hyperlink" Target="https://www.epa.gov/watersense/watersense-kids" TargetMode="External"/><Relationship Id="rId12" Type="http://schemas.openxmlformats.org/officeDocument/2006/relationships/hyperlink" Target="https://drive.google.com/file/d/1c7ugyxoMDBaXoXlchpgr55M11owe3epy/view" TargetMode="External"/><Relationship Id="rId2" Type="http://schemas.openxmlformats.org/officeDocument/2006/relationships/hyperlink" Target="https://www.ecomall.com/greenshopping/20things.htm" TargetMode="External"/><Relationship Id="rId1" Type="http://schemas.openxmlformats.org/officeDocument/2006/relationships/hyperlink" Target="http://www.greeneducationfoundation.org/institute/lesson-clearinghouse/357-Make-Reminder-Plates-for-Light-Switches-and-Thermostats" TargetMode="External"/><Relationship Id="rId6" Type="http://schemas.openxmlformats.org/officeDocument/2006/relationships/hyperlink" Target="https://ecorise.org/wp-content/uploads/2020/03/7_8_Wtr_M1_L1_Personal-Water-EcoAudit.pdf" TargetMode="External"/><Relationship Id="rId11" Type="http://schemas.openxmlformats.org/officeDocument/2006/relationships/hyperlink" Target="https://www.safekids.org/bike" TargetMode="External"/><Relationship Id="rId5" Type="http://schemas.openxmlformats.org/officeDocument/2006/relationships/hyperlink" Target="https://www.watercalculator.org/resource/teaching-conservation-with-water-footprint-calculator/" TargetMode="External"/><Relationship Id="rId15" Type="http://schemas.openxmlformats.org/officeDocument/2006/relationships/printerSettings" Target="../printerSettings/printerSettings4.bin"/><Relationship Id="rId10" Type="http://schemas.openxmlformats.org/officeDocument/2006/relationships/hyperlink" Target="https://wellnessmama.com/6244/natural-cleaning/" TargetMode="External"/><Relationship Id="rId4" Type="http://schemas.openxmlformats.org/officeDocument/2006/relationships/hyperlink" Target="https://www.energy.gov/eere/femp/home-energy-checklist" TargetMode="External"/><Relationship Id="rId9" Type="http://schemas.openxmlformats.org/officeDocument/2006/relationships/hyperlink" Target="http://www.humanesociety.org/sites/default/files/archive/assets/pdfs/farm/meatless-monday-toolkit-for.pdf" TargetMode="External"/><Relationship Id="rId14" Type="http://schemas.openxmlformats.org/officeDocument/2006/relationships/hyperlink" Target="https://kidsgardening.org/garden-activiti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B01F0-803D-415D-8CDA-1830A5245D76}">
  <dimension ref="A1:O91"/>
  <sheetViews>
    <sheetView showGridLines="0" tabSelected="1" zoomScale="106" zoomScaleNormal="106" workbookViewId="0">
      <selection activeCell="G3" sqref="G3"/>
    </sheetView>
  </sheetViews>
  <sheetFormatPr defaultColWidth="8.88671875" defaultRowHeight="14.4" x14ac:dyDescent="0.3"/>
  <cols>
    <col min="1" max="1" width="43.5546875" style="52" customWidth="1"/>
    <col min="2" max="2" width="7.109375" style="52" customWidth="1"/>
    <col min="3" max="3" width="55.33203125" style="52" customWidth="1"/>
    <col min="4" max="4" width="21.44140625" style="52" customWidth="1"/>
    <col min="5" max="5" width="7.109375" style="52" customWidth="1"/>
    <col min="6" max="6" width="51.5546875" style="52" customWidth="1"/>
    <col min="7" max="7" width="21.44140625" style="52" customWidth="1"/>
    <col min="8" max="8" width="7" style="52" customWidth="1"/>
    <col min="9" max="9" width="49.109375" style="52" customWidth="1"/>
    <col min="10" max="10" width="21.33203125" style="52" customWidth="1"/>
    <col min="11" max="16" width="8.88671875" style="52"/>
    <col min="17" max="17" width="22.44140625" style="52" customWidth="1"/>
    <col min="18" max="16384" width="8.88671875" style="52"/>
  </cols>
  <sheetData>
    <row r="1" spans="1:10" ht="51" customHeight="1" x14ac:dyDescent="0.3">
      <c r="A1" s="51"/>
      <c r="C1" s="306" t="s">
        <v>33</v>
      </c>
      <c r="D1" s="306"/>
      <c r="E1" s="306"/>
      <c r="F1" s="306"/>
      <c r="G1" s="306"/>
    </row>
    <row r="2" spans="1:10" ht="15" thickBot="1" x14ac:dyDescent="0.35">
      <c r="A2" s="51"/>
      <c r="C2" s="53"/>
      <c r="G2" s="54" t="s">
        <v>609</v>
      </c>
    </row>
    <row r="3" spans="1:10" ht="27" customHeight="1" thickBot="1" x14ac:dyDescent="0.35">
      <c r="A3" s="51"/>
      <c r="C3" s="209" t="s">
        <v>32</v>
      </c>
      <c r="D3" s="210"/>
      <c r="E3" s="210"/>
      <c r="F3" s="210"/>
      <c r="G3" s="211"/>
    </row>
    <row r="4" spans="1:10" ht="20.399999999999999" customHeight="1" thickBot="1" x14ac:dyDescent="0.35">
      <c r="A4" s="51"/>
      <c r="C4" s="55" t="s">
        <v>555</v>
      </c>
      <c r="D4" s="216"/>
      <c r="E4" s="56"/>
      <c r="F4" s="56"/>
      <c r="G4" s="57"/>
    </row>
    <row r="5" spans="1:10" ht="40.200000000000003" customHeight="1" x14ac:dyDescent="0.3">
      <c r="A5" s="51"/>
      <c r="C5" s="310" t="s">
        <v>605</v>
      </c>
      <c r="D5" s="311"/>
      <c r="E5" s="311"/>
      <c r="F5" s="311"/>
      <c r="G5" s="58"/>
    </row>
    <row r="6" spans="1:10" ht="24" customHeight="1" x14ac:dyDescent="0.3">
      <c r="A6" s="51"/>
      <c r="C6" s="59" t="s">
        <v>606</v>
      </c>
      <c r="D6" s="59"/>
      <c r="E6" s="60"/>
      <c r="F6" s="60"/>
      <c r="G6" s="61"/>
    </row>
    <row r="7" spans="1:10" ht="27" customHeight="1" x14ac:dyDescent="0.3">
      <c r="A7" s="51"/>
      <c r="C7" s="59" t="s">
        <v>607</v>
      </c>
      <c r="D7" s="62"/>
      <c r="E7" s="62"/>
      <c r="F7" s="62"/>
      <c r="G7" s="58"/>
    </row>
    <row r="8" spans="1:10" ht="30.6" customHeight="1" thickBot="1" x14ac:dyDescent="0.35">
      <c r="A8" s="51"/>
      <c r="C8" s="307" t="s">
        <v>608</v>
      </c>
      <c r="D8" s="308"/>
      <c r="E8" s="308"/>
      <c r="F8" s="308"/>
      <c r="G8" s="309"/>
      <c r="J8" s="63"/>
    </row>
    <row r="9" spans="1:10" x14ac:dyDescent="0.3">
      <c r="G9" s="64"/>
    </row>
    <row r="10" spans="1:10" ht="18.600000000000001" thickBot="1" x14ac:dyDescent="0.4">
      <c r="C10" s="302" t="s">
        <v>31</v>
      </c>
      <c r="D10" s="303"/>
    </row>
    <row r="11" spans="1:10" ht="15.75" customHeight="1" thickBot="1" x14ac:dyDescent="0.35">
      <c r="A11" s="212" t="s">
        <v>12</v>
      </c>
      <c r="C11" s="312" t="s">
        <v>571</v>
      </c>
      <c r="D11" s="313"/>
      <c r="J11" s="65"/>
    </row>
    <row r="12" spans="1:10" ht="15" thickBot="1" x14ac:dyDescent="0.35">
      <c r="A12" s="320" t="s">
        <v>573</v>
      </c>
      <c r="J12" s="65"/>
    </row>
    <row r="13" spans="1:10" x14ac:dyDescent="0.3">
      <c r="A13" s="320"/>
      <c r="C13" s="304" t="s">
        <v>571</v>
      </c>
      <c r="D13" s="296" t="s">
        <v>13</v>
      </c>
      <c r="J13" s="65"/>
    </row>
    <row r="14" spans="1:10" ht="15" customHeight="1" thickBot="1" x14ac:dyDescent="0.35">
      <c r="A14" s="320"/>
      <c r="C14" s="305"/>
      <c r="D14" s="297"/>
      <c r="J14" s="65"/>
    </row>
    <row r="15" spans="1:10" ht="15.6" customHeight="1" thickBot="1" x14ac:dyDescent="0.35">
      <c r="A15" s="320"/>
      <c r="C15" s="201" t="s">
        <v>11</v>
      </c>
      <c r="D15" s="202"/>
      <c r="F15" s="201" t="s">
        <v>10</v>
      </c>
      <c r="G15" s="203"/>
    </row>
    <row r="16" spans="1:10" x14ac:dyDescent="0.3">
      <c r="A16" s="320"/>
      <c r="C16" s="217" t="s">
        <v>30</v>
      </c>
      <c r="D16" s="218"/>
      <c r="F16" s="66" t="s">
        <v>500</v>
      </c>
      <c r="G16" s="67">
        <f>IFERROR(D20-(D20-D20*D17*0.02),"")</f>
        <v>0</v>
      </c>
    </row>
    <row r="17" spans="1:10" ht="28.8" x14ac:dyDescent="0.3">
      <c r="A17" s="320"/>
      <c r="C17" s="219" t="s">
        <v>558</v>
      </c>
      <c r="D17" s="220"/>
      <c r="F17" s="68" t="s">
        <v>16</v>
      </c>
      <c r="G17" s="69">
        <f>IFERROR(G16*'Conversion Factors'!J34,"")</f>
        <v>0</v>
      </c>
    </row>
    <row r="18" spans="1:10" ht="17.25" customHeight="1" x14ac:dyDescent="0.3">
      <c r="A18" s="320"/>
      <c r="C18" s="221" t="s">
        <v>34</v>
      </c>
      <c r="D18" s="222"/>
      <c r="F18" s="70" t="s">
        <v>8</v>
      </c>
      <c r="G18" s="69">
        <f>IFERROR(IF(G16*D18=0,G16*'Conversion Factors'!B39,G16*D18),"")</f>
        <v>0</v>
      </c>
    </row>
    <row r="19" spans="1:10" ht="15" thickBot="1" x14ac:dyDescent="0.35">
      <c r="A19" s="320"/>
      <c r="C19" s="71" t="s">
        <v>553</v>
      </c>
      <c r="D19" s="69">
        <f>'Conversion Factors'!B117</f>
        <v>1.9050410316529895</v>
      </c>
      <c r="F19" s="72" t="s">
        <v>0</v>
      </c>
      <c r="G19" s="73">
        <f>IFERROR(G17*'Conversion Factors'!B53,"")</f>
        <v>0</v>
      </c>
      <c r="J19" s="65"/>
    </row>
    <row r="20" spans="1:10" ht="15" thickBot="1" x14ac:dyDescent="0.35">
      <c r="A20" s="320"/>
      <c r="C20" s="74" t="s">
        <v>554</v>
      </c>
      <c r="D20" s="75">
        <f>IF(D16=0,'Conversion Factors'!B71*D19,D16*D19)</f>
        <v>2286.0492379835873</v>
      </c>
    </row>
    <row r="21" spans="1:10" x14ac:dyDescent="0.3">
      <c r="A21" s="320"/>
    </row>
    <row r="22" spans="1:10" ht="15" thickBot="1" x14ac:dyDescent="0.35">
      <c r="A22" s="321"/>
    </row>
    <row r="23" spans="1:10" ht="19.5" customHeight="1" x14ac:dyDescent="0.35">
      <c r="C23" s="302" t="s">
        <v>29</v>
      </c>
      <c r="D23" s="303"/>
    </row>
    <row r="24" spans="1:10" ht="18" customHeight="1" x14ac:dyDescent="0.3">
      <c r="C24" s="292" t="s">
        <v>572</v>
      </c>
      <c r="D24" s="293"/>
    </row>
    <row r="25" spans="1:10" ht="15" customHeight="1" thickBot="1" x14ac:dyDescent="0.35">
      <c r="A25" s="76"/>
      <c r="E25" s="65"/>
    </row>
    <row r="26" spans="1:10" ht="16.95" customHeight="1" thickBot="1" x14ac:dyDescent="0.35">
      <c r="A26" s="213" t="s">
        <v>17</v>
      </c>
      <c r="C26" s="314" t="s">
        <v>572</v>
      </c>
      <c r="D26" s="316" t="s">
        <v>13</v>
      </c>
      <c r="F26" s="201" t="s">
        <v>10</v>
      </c>
      <c r="G26" s="203"/>
    </row>
    <row r="27" spans="1:10" ht="15.6" customHeight="1" x14ac:dyDescent="0.3">
      <c r="A27" s="288" t="s">
        <v>603</v>
      </c>
      <c r="C27" s="315"/>
      <c r="D27" s="317"/>
      <c r="F27" s="77" t="s">
        <v>556</v>
      </c>
      <c r="G27" s="78" t="str">
        <f>IF(D34*D32=0,"",(IFERROR(D34*'Conversion Factors'!B343,"")))</f>
        <v/>
      </c>
    </row>
    <row r="28" spans="1:10" ht="15" customHeight="1" thickBot="1" x14ac:dyDescent="0.35">
      <c r="A28" s="288"/>
      <c r="C28" s="204" t="s">
        <v>11</v>
      </c>
      <c r="D28" s="205"/>
      <c r="F28" s="79" t="s">
        <v>28</v>
      </c>
      <c r="G28" s="78">
        <f>IFERROR(G27*365,0)</f>
        <v>0</v>
      </c>
    </row>
    <row r="29" spans="1:10" ht="28.8" x14ac:dyDescent="0.3">
      <c r="A29" s="288"/>
      <c r="C29" s="223" t="s">
        <v>600</v>
      </c>
      <c r="D29" s="224"/>
      <c r="F29" s="80" t="s">
        <v>511</v>
      </c>
      <c r="G29" s="78" t="str">
        <f>IFERROR(D32*G27*365,"")</f>
        <v/>
      </c>
    </row>
    <row r="30" spans="1:10" ht="28.8" x14ac:dyDescent="0.3">
      <c r="A30" s="288"/>
      <c r="C30" s="225" t="s">
        <v>601</v>
      </c>
      <c r="D30" s="226"/>
      <c r="F30" s="81" t="s">
        <v>557</v>
      </c>
      <c r="G30" s="82">
        <f>IFERROR(IF(G27*D33=0,G27*'Conversion Factors'!B236,G27*D33),0)</f>
        <v>0</v>
      </c>
    </row>
    <row r="31" spans="1:10" ht="28.8" x14ac:dyDescent="0.3">
      <c r="A31" s="288"/>
      <c r="C31" s="225" t="s">
        <v>602</v>
      </c>
      <c r="D31" s="226"/>
      <c r="F31" s="81" t="s">
        <v>27</v>
      </c>
      <c r="G31" s="83">
        <f>IFERROR(IF(G28*D33=0,G28*'Conversion Factors'!B236,G28*D33),0)</f>
        <v>0</v>
      </c>
    </row>
    <row r="32" spans="1:10" ht="31.2" customHeight="1" thickBot="1" x14ac:dyDescent="0.35">
      <c r="A32" s="288"/>
      <c r="C32" s="227" t="s">
        <v>20</v>
      </c>
      <c r="D32" s="226"/>
      <c r="F32" s="84" t="s">
        <v>510</v>
      </c>
      <c r="G32" s="85">
        <f>IFERROR(IF(G29*D33=0,G29*'Conversion Factors'!B236,G29*D33),0)</f>
        <v>0</v>
      </c>
    </row>
    <row r="33" spans="1:7" x14ac:dyDescent="0.3">
      <c r="A33" s="288"/>
      <c r="C33" s="228" t="s">
        <v>509</v>
      </c>
      <c r="D33" s="229"/>
    </row>
    <row r="34" spans="1:7" ht="15" thickBot="1" x14ac:dyDescent="0.35">
      <c r="A34" s="288"/>
      <c r="C34" s="86" t="s">
        <v>579</v>
      </c>
      <c r="D34" s="87">
        <f>SUM(D29:D31)</f>
        <v>0</v>
      </c>
    </row>
    <row r="35" spans="1:7" ht="25.2" customHeight="1" thickBot="1" x14ac:dyDescent="0.35">
      <c r="A35" s="289"/>
    </row>
    <row r="36" spans="1:7" ht="11.4" customHeight="1" x14ac:dyDescent="0.3">
      <c r="A36" s="88"/>
    </row>
    <row r="37" spans="1:7" ht="18.600000000000001" thickBot="1" x14ac:dyDescent="0.4">
      <c r="C37" s="298" t="s">
        <v>26</v>
      </c>
      <c r="D37" s="299"/>
    </row>
    <row r="38" spans="1:7" ht="15" thickBot="1" x14ac:dyDescent="0.35">
      <c r="A38" s="89" t="s">
        <v>5</v>
      </c>
      <c r="C38" s="300" t="s">
        <v>583</v>
      </c>
      <c r="D38" s="301"/>
    </row>
    <row r="39" spans="1:7" ht="15" thickBot="1" x14ac:dyDescent="0.35">
      <c r="E39" s="65"/>
    </row>
    <row r="40" spans="1:7" ht="15" thickBot="1" x14ac:dyDescent="0.35">
      <c r="A40" s="213" t="s">
        <v>12</v>
      </c>
      <c r="C40" s="318" t="s">
        <v>583</v>
      </c>
      <c r="D40" s="316" t="s">
        <v>13</v>
      </c>
      <c r="F40" s="201" t="s">
        <v>10</v>
      </c>
      <c r="G40" s="203"/>
    </row>
    <row r="41" spans="1:7" ht="14.4" customHeight="1" x14ac:dyDescent="0.3">
      <c r="A41" s="322" t="s">
        <v>604</v>
      </c>
      <c r="C41" s="319"/>
      <c r="D41" s="317"/>
      <c r="F41" s="90" t="s">
        <v>25</v>
      </c>
      <c r="G41" s="49">
        <f>IFERROR(D47*'Conversion Factors'!B168,0)</f>
        <v>0</v>
      </c>
    </row>
    <row r="42" spans="1:7" ht="15" thickBot="1" x14ac:dyDescent="0.35">
      <c r="A42" s="323"/>
      <c r="C42" s="204" t="s">
        <v>11</v>
      </c>
      <c r="D42" s="205"/>
      <c r="F42" s="70" t="s">
        <v>16</v>
      </c>
      <c r="G42" s="49">
        <f>G41*52</f>
        <v>0</v>
      </c>
    </row>
    <row r="43" spans="1:7" x14ac:dyDescent="0.3">
      <c r="A43" s="323"/>
      <c r="C43" s="223" t="s">
        <v>588</v>
      </c>
      <c r="D43" s="230"/>
      <c r="F43" s="70" t="s">
        <v>589</v>
      </c>
      <c r="G43" s="50">
        <f>IF(D46="Recycle",D47*'Conversion Factors'!B169,D47*'Conversion Factors'!B170)</f>
        <v>0</v>
      </c>
    </row>
    <row r="44" spans="1:7" x14ac:dyDescent="0.3">
      <c r="A44" s="323"/>
      <c r="C44" s="231" t="s">
        <v>594</v>
      </c>
      <c r="D44" s="232"/>
      <c r="F44" s="68" t="s">
        <v>590</v>
      </c>
      <c r="G44" s="49">
        <f>G43*52</f>
        <v>0</v>
      </c>
    </row>
    <row r="45" spans="1:7" ht="29.4" thickBot="1" x14ac:dyDescent="0.35">
      <c r="A45" s="323"/>
      <c r="C45" s="233" t="s">
        <v>595</v>
      </c>
      <c r="D45" s="232"/>
      <c r="F45" s="91" t="s">
        <v>0</v>
      </c>
      <c r="G45" s="73">
        <f>IFERROR(G42*'Conversion Factors'!B53,0)</f>
        <v>0</v>
      </c>
    </row>
    <row r="46" spans="1:7" ht="28.8" x14ac:dyDescent="0.3">
      <c r="A46" s="323"/>
      <c r="C46" s="231" t="s">
        <v>593</v>
      </c>
      <c r="D46" s="234"/>
      <c r="F46" s="92" t="s">
        <v>591</v>
      </c>
    </row>
    <row r="47" spans="1:7" ht="15" thickBot="1" x14ac:dyDescent="0.35">
      <c r="A47" s="323"/>
      <c r="C47" s="94" t="s">
        <v>596</v>
      </c>
      <c r="D47" s="95">
        <f>IF(D43=0,((D44-D45)*'Conversion Factors'!B179)*'Conversion Factors'!B20*'Conversion Factors'!B181,((D44-D45)*D43)*'Conversion Factors'!B20*'Conversion Factors'!B181)</f>
        <v>0</v>
      </c>
      <c r="F47" s="92" t="s">
        <v>592</v>
      </c>
    </row>
    <row r="48" spans="1:7" x14ac:dyDescent="0.3">
      <c r="A48" s="323"/>
    </row>
    <row r="49" spans="1:10" ht="16.2" customHeight="1" thickBot="1" x14ac:dyDescent="0.35">
      <c r="A49" s="324"/>
    </row>
    <row r="50" spans="1:10" ht="18.600000000000001" thickBot="1" x14ac:dyDescent="0.4">
      <c r="C50" s="302" t="s">
        <v>21</v>
      </c>
      <c r="D50" s="303"/>
    </row>
    <row r="51" spans="1:10" ht="15" thickBot="1" x14ac:dyDescent="0.35">
      <c r="A51" s="89" t="s">
        <v>5</v>
      </c>
      <c r="C51" s="292" t="s">
        <v>560</v>
      </c>
      <c r="D51" s="293"/>
    </row>
    <row r="52" spans="1:10" ht="15" thickBot="1" x14ac:dyDescent="0.35">
      <c r="E52" s="65"/>
      <c r="F52" s="201" t="s">
        <v>10</v>
      </c>
      <c r="G52" s="203"/>
    </row>
    <row r="53" spans="1:10" x14ac:dyDescent="0.3">
      <c r="A53" s="213" t="s">
        <v>12</v>
      </c>
      <c r="C53" s="294" t="s">
        <v>560</v>
      </c>
      <c r="D53" s="296" t="s">
        <v>13</v>
      </c>
      <c r="F53" s="90" t="s">
        <v>25</v>
      </c>
      <c r="G53" s="49">
        <f>IFERROR((D56*'Conversion Factors'!B312*('Conversion Factors'!B305-'Conversion Factors'!B307))*D57,0)</f>
        <v>0</v>
      </c>
    </row>
    <row r="54" spans="1:10" x14ac:dyDescent="0.3">
      <c r="A54" s="320" t="s">
        <v>559</v>
      </c>
      <c r="C54" s="295"/>
      <c r="D54" s="297"/>
      <c r="F54" s="70" t="s">
        <v>16</v>
      </c>
      <c r="G54" s="49">
        <f>G53*52</f>
        <v>0</v>
      </c>
    </row>
    <row r="55" spans="1:10" ht="15" thickBot="1" x14ac:dyDescent="0.35">
      <c r="A55" s="320"/>
      <c r="C55" s="207" t="s">
        <v>11</v>
      </c>
      <c r="D55" s="208"/>
      <c r="F55" s="70" t="s">
        <v>24</v>
      </c>
      <c r="G55" s="50">
        <f>IFERROR((D56*'Conversion Factors'!B312*('Conversion Factors'!B314-'Conversion Factors'!B315))*D57,0)</f>
        <v>0</v>
      </c>
    </row>
    <row r="56" spans="1:10" x14ac:dyDescent="0.3">
      <c r="A56" s="320"/>
      <c r="C56" s="235" t="s">
        <v>23</v>
      </c>
      <c r="D56" s="220"/>
      <c r="F56" s="68" t="s">
        <v>8</v>
      </c>
      <c r="G56" s="50">
        <f>G55*52</f>
        <v>0</v>
      </c>
    </row>
    <row r="57" spans="1:10" ht="15" thickBot="1" x14ac:dyDescent="0.35">
      <c r="A57" s="321"/>
      <c r="C57" s="236" t="s">
        <v>22</v>
      </c>
      <c r="D57" s="237"/>
      <c r="F57" s="72" t="s">
        <v>0</v>
      </c>
      <c r="G57" s="73">
        <f>IFERROR(G54*'Conversion Factors'!B53,0)</f>
        <v>0</v>
      </c>
    </row>
    <row r="58" spans="1:10" x14ac:dyDescent="0.3">
      <c r="A58" s="93"/>
      <c r="J58" s="65"/>
    </row>
    <row r="59" spans="1:10" x14ac:dyDescent="0.3">
      <c r="A59" s="93"/>
      <c r="J59" s="65"/>
    </row>
    <row r="60" spans="1:10" ht="19.95" customHeight="1" thickBot="1" x14ac:dyDescent="0.4">
      <c r="B60" s="96"/>
      <c r="C60" s="298" t="s">
        <v>19</v>
      </c>
      <c r="D60" s="299"/>
    </row>
    <row r="61" spans="1:10" ht="15" thickBot="1" x14ac:dyDescent="0.35">
      <c r="A61" s="97" t="s">
        <v>5</v>
      </c>
      <c r="B61" s="96"/>
      <c r="C61" s="300" t="s">
        <v>501</v>
      </c>
      <c r="D61" s="301"/>
    </row>
    <row r="62" spans="1:10" ht="15" customHeight="1" thickBot="1" x14ac:dyDescent="0.35">
      <c r="B62" s="96"/>
    </row>
    <row r="63" spans="1:10" ht="15" thickBot="1" x14ac:dyDescent="0.35">
      <c r="A63" s="213" t="s">
        <v>12</v>
      </c>
      <c r="B63" s="96"/>
      <c r="C63" s="304" t="s">
        <v>501</v>
      </c>
      <c r="D63" s="296" t="s">
        <v>13</v>
      </c>
    </row>
    <row r="64" spans="1:10" ht="15" customHeight="1" thickBot="1" x14ac:dyDescent="0.35">
      <c r="A64" s="320" t="s">
        <v>561</v>
      </c>
      <c r="B64" s="96"/>
      <c r="C64" s="305"/>
      <c r="D64" s="297"/>
      <c r="F64" s="206" t="s">
        <v>10</v>
      </c>
      <c r="G64" s="203"/>
    </row>
    <row r="65" spans="1:15" ht="15" customHeight="1" thickBot="1" x14ac:dyDescent="0.35">
      <c r="A65" s="320"/>
      <c r="B65" s="96"/>
      <c r="C65" s="207" t="s">
        <v>11</v>
      </c>
      <c r="D65" s="208"/>
      <c r="F65" s="98" t="s">
        <v>502</v>
      </c>
      <c r="G65" s="69">
        <f>IFERROR(D66*'Conversion Factors'!B264,0)</f>
        <v>0</v>
      </c>
    </row>
    <row r="66" spans="1:15" ht="29.4" thickBot="1" x14ac:dyDescent="0.35">
      <c r="A66" s="320"/>
      <c r="B66" s="96"/>
      <c r="C66" s="238" t="s">
        <v>566</v>
      </c>
      <c r="D66" s="239"/>
      <c r="F66" s="91" t="s">
        <v>503</v>
      </c>
      <c r="G66" s="99">
        <f>IFERROR(D66*('Conversion Factors'!B266-'Conversion Factors'!B268),0)</f>
        <v>0</v>
      </c>
    </row>
    <row r="67" spans="1:15" ht="15" thickBot="1" x14ac:dyDescent="0.35">
      <c r="A67" s="100" t="s">
        <v>504</v>
      </c>
      <c r="J67" s="65"/>
    </row>
    <row r="68" spans="1:15" x14ac:dyDescent="0.3">
      <c r="A68" s="93"/>
      <c r="J68" s="65"/>
    </row>
    <row r="69" spans="1:15" ht="18.75" customHeight="1" thickBot="1" x14ac:dyDescent="0.4">
      <c r="C69" s="302" t="s">
        <v>14</v>
      </c>
      <c r="D69" s="303"/>
    </row>
    <row r="70" spans="1:15" ht="15" thickBot="1" x14ac:dyDescent="0.35">
      <c r="A70" s="26" t="s">
        <v>5</v>
      </c>
      <c r="C70" s="292" t="s">
        <v>562</v>
      </c>
      <c r="D70" s="293"/>
    </row>
    <row r="71" spans="1:15" ht="15.75" customHeight="1" thickBot="1" x14ac:dyDescent="0.35">
      <c r="F71" s="201" t="s">
        <v>10</v>
      </c>
      <c r="G71" s="203"/>
    </row>
    <row r="72" spans="1:15" x14ac:dyDescent="0.3">
      <c r="A72" s="214" t="s">
        <v>12</v>
      </c>
      <c r="C72" s="304" t="s">
        <v>562</v>
      </c>
      <c r="D72" s="296" t="s">
        <v>13</v>
      </c>
      <c r="F72" s="77" t="s">
        <v>18</v>
      </c>
      <c r="G72" s="48">
        <f>IFERROR(IF(ISBLANK(D76),(D75*'Conversion Factors'!B428/'Conversion Factors'!B432*2)*'Conversion Factors'!B433,(D75*D76/'Conversion Factors'!B432*2)*'Conversion Factors'!B433),0)</f>
        <v>0</v>
      </c>
    </row>
    <row r="73" spans="1:15" x14ac:dyDescent="0.3">
      <c r="A73" s="290" t="s">
        <v>563</v>
      </c>
      <c r="C73" s="305"/>
      <c r="D73" s="297"/>
      <c r="F73" s="70" t="s">
        <v>506</v>
      </c>
      <c r="G73" s="49">
        <f>IFERROR(G72*365,"")</f>
        <v>0</v>
      </c>
    </row>
    <row r="74" spans="1:15" ht="14.25" customHeight="1" thickBot="1" x14ac:dyDescent="0.35">
      <c r="A74" s="290"/>
      <c r="C74" s="207" t="s">
        <v>11</v>
      </c>
      <c r="D74" s="208"/>
      <c r="F74" s="68" t="s">
        <v>15</v>
      </c>
      <c r="G74" s="50">
        <f>IFERROR(IF(ISBLANK(D76),(D75*'Conversion Factors'!B428/'Conversion Factors'!B432*2)*'Conversion Factors'!B429,(D75*D76/'Conversion Factors'!B432*2)*'Conversion Factors'!B429),0)</f>
        <v>0</v>
      </c>
    </row>
    <row r="75" spans="1:15" ht="28.8" x14ac:dyDescent="0.3">
      <c r="A75" s="290"/>
      <c r="C75" s="235" t="s">
        <v>574</v>
      </c>
      <c r="D75" s="240"/>
      <c r="F75" s="68" t="s">
        <v>507</v>
      </c>
      <c r="G75" s="25">
        <f>IFERROR(G74*365,0)</f>
        <v>0</v>
      </c>
    </row>
    <row r="76" spans="1:15" ht="15" thickBot="1" x14ac:dyDescent="0.35">
      <c r="A76" s="291"/>
      <c r="C76" s="241" t="s">
        <v>505</v>
      </c>
      <c r="D76" s="244"/>
      <c r="F76" s="72" t="s">
        <v>0</v>
      </c>
      <c r="G76" s="73">
        <f>IFERROR(G73*'Conversion Factors'!B$53,"")</f>
        <v>0</v>
      </c>
    </row>
    <row r="77" spans="1:15" x14ac:dyDescent="0.3">
      <c r="D77" s="96"/>
    </row>
    <row r="78" spans="1:15" x14ac:dyDescent="0.3">
      <c r="J78" s="65"/>
    </row>
    <row r="79" spans="1:15" ht="18.600000000000001" thickBot="1" x14ac:dyDescent="0.4">
      <c r="A79" s="101"/>
      <c r="C79" s="302" t="s">
        <v>575</v>
      </c>
      <c r="D79" s="303"/>
      <c r="O79" s="102"/>
    </row>
    <row r="80" spans="1:15" ht="15" thickBot="1" x14ac:dyDescent="0.35">
      <c r="A80" s="103" t="s">
        <v>5</v>
      </c>
      <c r="C80" s="292" t="s">
        <v>564</v>
      </c>
      <c r="D80" s="293"/>
      <c r="O80" s="104"/>
    </row>
    <row r="81" spans="1:15" ht="15" thickBot="1" x14ac:dyDescent="0.35">
      <c r="O81" s="104"/>
    </row>
    <row r="82" spans="1:15" x14ac:dyDescent="0.3">
      <c r="A82" s="215" t="s">
        <v>12</v>
      </c>
      <c r="C82" s="304" t="s">
        <v>564</v>
      </c>
      <c r="D82" s="296" t="s">
        <v>13</v>
      </c>
      <c r="O82" s="53"/>
    </row>
    <row r="83" spans="1:15" ht="15" thickBot="1" x14ac:dyDescent="0.35">
      <c r="A83" s="288" t="s">
        <v>567</v>
      </c>
      <c r="C83" s="305"/>
      <c r="D83" s="297"/>
      <c r="O83" s="105"/>
    </row>
    <row r="84" spans="1:15" ht="15" customHeight="1" thickBot="1" x14ac:dyDescent="0.35">
      <c r="A84" s="288"/>
      <c r="C84" s="207" t="s">
        <v>11</v>
      </c>
      <c r="D84" s="208"/>
      <c r="F84" s="201" t="s">
        <v>10</v>
      </c>
      <c r="G84" s="203"/>
      <c r="O84" s="105"/>
    </row>
    <row r="85" spans="1:15" x14ac:dyDescent="0.3">
      <c r="A85" s="288"/>
      <c r="C85" s="219" t="s">
        <v>565</v>
      </c>
      <c r="D85" s="242"/>
      <c r="F85" s="106" t="s">
        <v>9</v>
      </c>
      <c r="G85" s="107">
        <f>D88*'Conversion Factors'!B258*0.004329</f>
        <v>0</v>
      </c>
      <c r="O85" s="105"/>
    </row>
    <row r="86" spans="1:15" ht="15" thickBot="1" x14ac:dyDescent="0.35">
      <c r="A86" s="288"/>
      <c r="C86" s="219" t="s">
        <v>568</v>
      </c>
      <c r="D86" s="242"/>
      <c r="F86" s="72" t="s">
        <v>8</v>
      </c>
      <c r="G86" s="75">
        <f>IFERROR(IF(G85*D87=0,G85*'Conversion Factors'!B236,G85*D87),0)</f>
        <v>0</v>
      </c>
      <c r="O86" s="105"/>
    </row>
    <row r="87" spans="1:15" x14ac:dyDescent="0.3">
      <c r="A87" s="288"/>
      <c r="C87" s="219" t="s">
        <v>7</v>
      </c>
      <c r="D87" s="243"/>
      <c r="O87" s="53"/>
    </row>
    <row r="88" spans="1:15" ht="15" thickBot="1" x14ac:dyDescent="0.35">
      <c r="A88" s="288"/>
      <c r="C88" s="72" t="s">
        <v>550</v>
      </c>
      <c r="D88" s="47">
        <f>IF(D86*D85=0,'Conversion Factors'!B259*D85,D86*D85)</f>
        <v>0</v>
      </c>
      <c r="O88" s="53"/>
    </row>
    <row r="89" spans="1:15" x14ac:dyDescent="0.3">
      <c r="A89" s="288"/>
      <c r="O89" s="105"/>
    </row>
    <row r="90" spans="1:15" ht="15" thickBot="1" x14ac:dyDescent="0.35">
      <c r="A90" s="289"/>
      <c r="G90" s="108"/>
      <c r="O90" s="109"/>
    </row>
    <row r="91" spans="1:15" x14ac:dyDescent="0.3">
      <c r="J91" s="65"/>
    </row>
  </sheetData>
  <sheetProtection algorithmName="SHA-512" hashValue="YQt8c2utnnOQlQcUm4H54pDk4vx7MFrtu7y0nOGQecOb75PYrCd2YXN9m4Oznaylg3dztYi0JQPVTROQOZWYSg==" saltValue="qbTV75BjIMsYtyIKUN1Jmg==" spinCount="100000" sheet="1" objects="1" scenarios="1"/>
  <protectedRanges>
    <protectedRange sqref="D16:D18" name="ProjectFour_1"/>
    <protectedRange sqref="D29:D30 D33:D36 D47:D49" name="ProjectTwo_1"/>
    <protectedRange sqref="D56" name="ProjectFour_2"/>
    <protectedRange sqref="D66" name="ProjectFour_3"/>
    <protectedRange sqref="D75:D76" name="ProjectTwo_2"/>
    <protectedRange sqref="D87" name="ProjectThree_1"/>
    <protectedRange sqref="D43" name="ProjectFive"/>
    <protectedRange sqref="D44" name="ProjectThree"/>
    <protectedRange sqref="D45" name="ProjectThree_2"/>
  </protectedRanges>
  <mergeCells count="38">
    <mergeCell ref="A12:A22"/>
    <mergeCell ref="A64:A66"/>
    <mergeCell ref="A54:A57"/>
    <mergeCell ref="A27:A35"/>
    <mergeCell ref="A41:A49"/>
    <mergeCell ref="C40:C41"/>
    <mergeCell ref="D40:D41"/>
    <mergeCell ref="C50:D50"/>
    <mergeCell ref="C82:C83"/>
    <mergeCell ref="C69:D69"/>
    <mergeCell ref="C70:D70"/>
    <mergeCell ref="C72:C73"/>
    <mergeCell ref="C37:D37"/>
    <mergeCell ref="C38:D38"/>
    <mergeCell ref="C1:G1"/>
    <mergeCell ref="C8:G8"/>
    <mergeCell ref="C10:D10"/>
    <mergeCell ref="C5:F5"/>
    <mergeCell ref="C11:D11"/>
    <mergeCell ref="C13:C14"/>
    <mergeCell ref="D13:D14"/>
    <mergeCell ref="C23:D23"/>
    <mergeCell ref="C24:D24"/>
    <mergeCell ref="C26:C27"/>
    <mergeCell ref="D26:D27"/>
    <mergeCell ref="A83:A90"/>
    <mergeCell ref="A73:A76"/>
    <mergeCell ref="C51:D51"/>
    <mergeCell ref="C53:C54"/>
    <mergeCell ref="D53:D54"/>
    <mergeCell ref="C60:D60"/>
    <mergeCell ref="C61:D61"/>
    <mergeCell ref="C79:D79"/>
    <mergeCell ref="C80:D80"/>
    <mergeCell ref="D82:D83"/>
    <mergeCell ref="D72:D73"/>
    <mergeCell ref="C63:C64"/>
    <mergeCell ref="D63:D64"/>
  </mergeCells>
  <dataValidations disablePrompts="1" count="3">
    <dataValidation type="whole" operator="greaterThan" allowBlank="1" showInputMessage="1" showErrorMessage="1" sqref="D29:D30" xr:uid="{4B6756AA-ACD9-41F0-A42A-B718EDAEF936}">
      <formula1>0</formula1>
    </dataValidation>
    <dataValidation type="whole" allowBlank="1" showInputMessage="1" showErrorMessage="1" sqref="D16" xr:uid="{2FEE93C3-7EAF-4656-A16E-9E1D2BB62E0E}">
      <formula1>0</formula1>
      <formula2>100000000000</formula2>
    </dataValidation>
    <dataValidation type="list" allowBlank="1" showInputMessage="1" showErrorMessage="1" sqref="D46" xr:uid="{CA5D1448-B58A-4483-A360-3A90FF8EAB6C}">
      <formula1>$F$46:$F$47</formula1>
    </dataValidation>
  </dataValidations>
  <hyperlinks>
    <hyperlink ref="A61" location="'Home Projects'!A1" display="Jump to the top of the page" xr:uid="{DE73D28A-BE3E-4409-84A7-FB5F80534023}"/>
    <hyperlink ref="A70" location="'Home Projects'!A1" display="Jump to the top of the page" xr:uid="{48AB47C8-BA27-463D-A67C-1936A8DB6C52}"/>
    <hyperlink ref="A80" location="'Home Projects'!A1" display="Jump to the top of the page" xr:uid="{62E088FD-EAE5-41B2-BCA4-763F053D901D}"/>
    <hyperlink ref="A67" location="Glossary!A8" display="VOC Definition" xr:uid="{131708F1-C689-44CB-A18E-6E2A21321E58}"/>
    <hyperlink ref="A38" location="'Home Projects'!A1" display="Jump to the top of the page" xr:uid="{26BD921F-2E83-44A1-92C9-84BD0F48314A}"/>
    <hyperlink ref="A51" location="'Home Projects'!A1" display="Jump to the top of the page" xr:uid="{5BA2C280-4F00-4777-8AFC-98B722543AE2}"/>
  </hyperlinks>
  <pageMargins left="0.7" right="0.7" top="0.75" bottom="0.75" header="0.3" footer="0.3"/>
  <pageSetup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AE337-34A2-4AD6-8735-00690E1EED05}">
  <dimension ref="A1:I23"/>
  <sheetViews>
    <sheetView showGridLines="0" zoomScale="106" zoomScaleNormal="106" workbookViewId="0">
      <selection activeCell="C3" sqref="C3:G3"/>
    </sheetView>
  </sheetViews>
  <sheetFormatPr defaultColWidth="8.88671875" defaultRowHeight="14.4" x14ac:dyDescent="0.3"/>
  <cols>
    <col min="1" max="1" width="38.44140625" customWidth="1"/>
    <col min="2" max="2" width="7.109375" customWidth="1"/>
    <col min="3" max="3" width="50.44140625" customWidth="1"/>
    <col min="4" max="4" width="28" customWidth="1"/>
    <col min="5" max="5" width="2.33203125" customWidth="1"/>
    <col min="6" max="6" width="50.5546875" customWidth="1"/>
    <col min="7" max="7" width="23.6640625" customWidth="1"/>
    <col min="8" max="8" width="7" customWidth="1"/>
    <col min="9" max="9" width="49.109375" customWidth="1"/>
    <col min="10" max="10" width="21.33203125" customWidth="1"/>
    <col min="17" max="17" width="22.44140625" customWidth="1"/>
  </cols>
  <sheetData>
    <row r="1" spans="1:9" ht="51" customHeight="1" x14ac:dyDescent="0.3">
      <c r="A1" s="31"/>
      <c r="C1" s="331" t="s">
        <v>33</v>
      </c>
      <c r="D1" s="331"/>
      <c r="E1" s="331"/>
      <c r="F1" s="331"/>
      <c r="G1" s="331"/>
    </row>
    <row r="2" spans="1:9" x14ac:dyDescent="0.3">
      <c r="A2" s="31"/>
      <c r="C2" s="23"/>
      <c r="G2" s="28" t="s">
        <v>609</v>
      </c>
    </row>
    <row r="3" spans="1:9" ht="25.8" x14ac:dyDescent="0.3">
      <c r="A3" s="32"/>
      <c r="C3" s="325" t="s">
        <v>6</v>
      </c>
      <c r="D3" s="325"/>
      <c r="E3" s="325"/>
      <c r="F3" s="325"/>
      <c r="G3" s="325"/>
    </row>
    <row r="4" spans="1:9" x14ac:dyDescent="0.3">
      <c r="A4" s="31"/>
    </row>
    <row r="5" spans="1:9" ht="15" thickBot="1" x14ac:dyDescent="0.35">
      <c r="A5" s="31"/>
      <c r="C5" s="22"/>
    </row>
    <row r="6" spans="1:9" ht="26.25" customHeight="1" thickBot="1" x14ac:dyDescent="0.35">
      <c r="A6" s="31"/>
      <c r="C6" s="326" t="str">
        <f>"Congratulations, "&amp;'Home Projects'!D4&amp;"! You have completed "&amp;COUNT('Home Projects'!D16,'Home Projects'!D29,'Home Projects'!D56,'Home Projects'!D66,'Home Projects'!D75,'Home Projects'!D85)&amp;" project(s)!"</f>
        <v>Congratulations, ! You have completed 0 project(s)!</v>
      </c>
      <c r="D6" s="327"/>
      <c r="E6" s="327"/>
      <c r="F6" s="327"/>
      <c r="G6" s="328"/>
      <c r="I6" s="21">
        <f>COUNT(#REF!,#REF!,#REF!,#REF!,#REF!,#REF!)</f>
        <v>0</v>
      </c>
    </row>
    <row r="7" spans="1:9" ht="15" thickBot="1" x14ac:dyDescent="0.35">
      <c r="A7" s="31"/>
    </row>
    <row r="8" spans="1:9" ht="18" x14ac:dyDescent="0.35">
      <c r="A8" s="31"/>
      <c r="C8" s="20"/>
      <c r="D8" s="19"/>
      <c r="E8" s="18"/>
      <c r="F8" s="17"/>
      <c r="G8" s="16"/>
    </row>
    <row r="9" spans="1:9" x14ac:dyDescent="0.3">
      <c r="A9" s="31"/>
      <c r="C9" s="15"/>
      <c r="E9" s="13"/>
      <c r="G9" s="12"/>
    </row>
    <row r="10" spans="1:9" x14ac:dyDescent="0.3">
      <c r="A10" s="31"/>
      <c r="C10" s="247" t="str">
        <f>TEXT(ROUND(D19,0),"#,###,###")&amp;" lbs of CO2"&amp;"                     "&amp;TEXT(ROUND(D21,0),"#,###,###")&amp; " dollars"</f>
        <v xml:space="preserve"> lbs of CO2                      dollars</v>
      </c>
      <c r="D10" s="249" t="str">
        <f>TEXT(ROUND(D20,0),"###,###")&amp;" gallons of water"</f>
        <v xml:space="preserve"> gallons of water</v>
      </c>
      <c r="E10" s="248"/>
      <c r="F10" s="329" t="str">
        <f>"Your CO2 saving is equal to "&amp;TEXT(D22,"###,###")&amp;" tree(s) growing for 10 years"</f>
        <v>Your CO2 saving is equal to  tree(s) growing for 10 years</v>
      </c>
      <c r="G10" s="330"/>
    </row>
    <row r="11" spans="1:9" x14ac:dyDescent="0.3">
      <c r="A11" s="31"/>
      <c r="C11" s="14"/>
      <c r="E11" s="13"/>
      <c r="G11" s="12"/>
    </row>
    <row r="12" spans="1:9" x14ac:dyDescent="0.3">
      <c r="A12" s="31"/>
      <c r="C12" s="14"/>
      <c r="E12" s="13"/>
      <c r="G12" s="12"/>
    </row>
    <row r="13" spans="1:9" x14ac:dyDescent="0.3">
      <c r="A13" s="31"/>
      <c r="C13" s="14"/>
      <c r="E13" s="13"/>
      <c r="G13" s="12"/>
    </row>
    <row r="14" spans="1:9" x14ac:dyDescent="0.3">
      <c r="A14" s="31"/>
      <c r="C14" s="14"/>
      <c r="E14" s="13"/>
      <c r="G14" s="12"/>
    </row>
    <row r="15" spans="1:9" x14ac:dyDescent="0.3">
      <c r="A15" s="31"/>
      <c r="C15" s="14"/>
      <c r="E15" s="13"/>
      <c r="G15" s="12"/>
    </row>
    <row r="16" spans="1:9" ht="15" thickBot="1" x14ac:dyDescent="0.35">
      <c r="A16" s="31"/>
      <c r="C16" s="11"/>
      <c r="D16" s="10"/>
      <c r="E16" s="9"/>
      <c r="F16" s="8"/>
      <c r="G16" s="7"/>
    </row>
    <row r="17" spans="1:4" ht="15" thickBot="1" x14ac:dyDescent="0.35">
      <c r="A17" s="31"/>
    </row>
    <row r="18" spans="1:4" x14ac:dyDescent="0.3">
      <c r="A18" s="31"/>
      <c r="C18" s="245" t="s">
        <v>4</v>
      </c>
      <c r="D18" s="246"/>
    </row>
    <row r="19" spans="1:4" x14ac:dyDescent="0.3">
      <c r="A19" s="33"/>
      <c r="C19" s="6" t="s">
        <v>3</v>
      </c>
      <c r="D19" s="5">
        <f>IFERROR(SUM('Home Projects'!$G$17,'Home Projects'!$G$42,'Home Projects'!$G$54,'Home Projects'!$G$73),"")</f>
        <v>0</v>
      </c>
    </row>
    <row r="20" spans="1:4" x14ac:dyDescent="0.3">
      <c r="A20" s="31"/>
      <c r="C20" s="4" t="s">
        <v>2</v>
      </c>
      <c r="D20" s="3">
        <f>IFERROR(SUM('Home Projects'!$G$28,'Home Projects'!$G$85),"")</f>
        <v>0</v>
      </c>
    </row>
    <row r="21" spans="1:4" x14ac:dyDescent="0.3">
      <c r="A21" s="31"/>
      <c r="C21" s="2" t="s">
        <v>1</v>
      </c>
      <c r="D21" s="1">
        <f>IFERROR(SUM('Home Projects'!$G$18,'Home Projects'!$G$31,'Home Projects'!$G$56,'Home Projects'!$G$66,'Home Projects'!$G$75,'Home Projects'!$G$86),"")</f>
        <v>0</v>
      </c>
    </row>
    <row r="22" spans="1:4" x14ac:dyDescent="0.3">
      <c r="A22" s="31"/>
      <c r="C22" s="6" t="s">
        <v>0</v>
      </c>
      <c r="D22" s="27">
        <f>IFERROR(SUM('Home Projects'!$G$19,'Home Projects'!$G$45,'Home Projects'!$G$57,'Home Projects'!$G$76),"")</f>
        <v>0</v>
      </c>
    </row>
    <row r="23" spans="1:4" ht="15" thickBot="1" x14ac:dyDescent="0.35">
      <c r="A23" s="31"/>
      <c r="C23" s="24" t="s">
        <v>508</v>
      </c>
      <c r="D23" s="30">
        <f>'Home Projects'!$G$65</f>
        <v>0</v>
      </c>
    </row>
  </sheetData>
  <sheetProtection algorithmName="SHA-512" hashValue="7VWgwpxrhsnpEzEJL9TjAyWXP2DpPI0vyo2maTy7Y0SPFTfIZdyhvFM0umNXxWEVUpcdKCMULoW2EtB5Bby1Jg==" saltValue="fBUrnIhR/xlrIFzJCGG46A==" spinCount="100000" sheet="1" objects="1" scenarios="1"/>
  <mergeCells count="4">
    <mergeCell ref="C3:G3"/>
    <mergeCell ref="C6:G6"/>
    <mergeCell ref="F10:G10"/>
    <mergeCell ref="C1:G1"/>
  </mergeCells>
  <pageMargins left="0.7" right="0.7" top="0.75" bottom="0.75" header="0.3" footer="0.3"/>
  <pageSetup orientation="portrait" horizontalDpi="360" verticalDpi="36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F2D18-5BE6-417A-B046-97C2F40CAEAC}">
  <dimension ref="A1:P474"/>
  <sheetViews>
    <sheetView zoomScaleNormal="100" workbookViewId="0">
      <selection activeCell="C475" sqref="C475"/>
    </sheetView>
  </sheetViews>
  <sheetFormatPr defaultColWidth="8.88671875" defaultRowHeight="14.4" x14ac:dyDescent="0.3"/>
  <cols>
    <col min="1" max="1" width="73.44140625" style="110" customWidth="1"/>
    <col min="2" max="2" width="26.6640625" style="110" customWidth="1"/>
    <col min="3" max="3" width="43.44140625" style="110" customWidth="1"/>
    <col min="4" max="4" width="31.44140625" style="110" customWidth="1"/>
    <col min="5" max="5" width="12" style="110" customWidth="1"/>
    <col min="6" max="6" width="14.44140625" style="110" customWidth="1"/>
    <col min="7" max="7" width="12" style="110" customWidth="1"/>
    <col min="8" max="8" width="13.88671875" style="110" customWidth="1"/>
    <col min="9" max="9" width="12" style="110" customWidth="1"/>
    <col min="10" max="10" width="16.109375" style="110" customWidth="1"/>
    <col min="11" max="11" width="13.33203125" style="110" bestFit="1" customWidth="1"/>
    <col min="12" max="12" width="11.33203125" style="110" customWidth="1"/>
    <col min="13" max="13" width="12.44140625" style="110" customWidth="1"/>
    <col min="14" max="14" width="12.109375" style="110" customWidth="1"/>
    <col min="15" max="15" width="8.88671875" style="110"/>
    <col min="16" max="16" width="13.33203125" style="110" bestFit="1" customWidth="1"/>
    <col min="17" max="16384" width="8.88671875" style="110"/>
  </cols>
  <sheetData>
    <row r="1" spans="1:3" ht="51" customHeight="1" x14ac:dyDescent="0.3">
      <c r="A1" s="250" t="s">
        <v>35</v>
      </c>
      <c r="B1" s="251"/>
      <c r="C1" s="252"/>
    </row>
    <row r="2" spans="1:3" x14ac:dyDescent="0.3">
      <c r="A2" s="254" t="s">
        <v>36</v>
      </c>
      <c r="B2" s="254"/>
      <c r="C2" s="254"/>
    </row>
    <row r="3" spans="1:3" x14ac:dyDescent="0.3">
      <c r="A3" s="111" t="s">
        <v>37</v>
      </c>
      <c r="B3" s="112">
        <v>1000</v>
      </c>
      <c r="C3" s="111" t="s">
        <v>38</v>
      </c>
    </row>
    <row r="4" spans="1:3" x14ac:dyDescent="0.3">
      <c r="A4" s="111" t="s">
        <v>39</v>
      </c>
      <c r="B4" s="113">
        <v>1E-3</v>
      </c>
      <c r="C4" s="111" t="s">
        <v>40</v>
      </c>
    </row>
    <row r="5" spans="1:3" x14ac:dyDescent="0.3">
      <c r="A5" s="111" t="s">
        <v>41</v>
      </c>
      <c r="B5" s="113">
        <v>1E-3</v>
      </c>
      <c r="C5" s="111" t="s">
        <v>42</v>
      </c>
    </row>
    <row r="6" spans="1:3" x14ac:dyDescent="0.3">
      <c r="A6" s="254" t="s">
        <v>43</v>
      </c>
      <c r="B6" s="255"/>
      <c r="C6" s="256"/>
    </row>
    <row r="7" spans="1:3" x14ac:dyDescent="0.3">
      <c r="A7" s="114" t="s">
        <v>44</v>
      </c>
      <c r="B7" s="111">
        <v>0.01</v>
      </c>
      <c r="C7" s="111" t="s">
        <v>45</v>
      </c>
    </row>
    <row r="8" spans="1:3" x14ac:dyDescent="0.3">
      <c r="A8" s="254" t="s">
        <v>46</v>
      </c>
      <c r="B8" s="254"/>
      <c r="C8" s="254"/>
    </row>
    <row r="9" spans="1:3" x14ac:dyDescent="0.3">
      <c r="A9" s="111" t="s">
        <v>47</v>
      </c>
      <c r="B9" s="115">
        <v>4.5359236999999999E-4</v>
      </c>
      <c r="C9" s="111" t="s">
        <v>48</v>
      </c>
    </row>
    <row r="10" spans="1:3" x14ac:dyDescent="0.3">
      <c r="A10" s="114" t="s">
        <v>49</v>
      </c>
      <c r="B10" s="111">
        <v>2204.62</v>
      </c>
      <c r="C10" s="111" t="s">
        <v>50</v>
      </c>
    </row>
    <row r="11" spans="1:3" x14ac:dyDescent="0.3">
      <c r="A11" s="111" t="s">
        <v>51</v>
      </c>
      <c r="B11" s="113">
        <v>2.2046199999999998</v>
      </c>
      <c r="C11" s="111" t="s">
        <v>50</v>
      </c>
    </row>
    <row r="12" spans="1:3" x14ac:dyDescent="0.3">
      <c r="A12" s="111" t="s">
        <v>47</v>
      </c>
      <c r="B12" s="112">
        <v>16</v>
      </c>
      <c r="C12" s="111" t="s">
        <v>52</v>
      </c>
    </row>
    <row r="13" spans="1:3" x14ac:dyDescent="0.3">
      <c r="A13" s="111" t="s">
        <v>53</v>
      </c>
      <c r="B13" s="113">
        <v>3.527396E-2</v>
      </c>
      <c r="C13" s="111" t="s">
        <v>52</v>
      </c>
    </row>
    <row r="14" spans="1:3" x14ac:dyDescent="0.3">
      <c r="A14" s="111" t="s">
        <v>53</v>
      </c>
      <c r="B14" s="113">
        <v>2.2046230000000002E-3</v>
      </c>
      <c r="C14" s="111" t="s">
        <v>50</v>
      </c>
    </row>
    <row r="15" spans="1:3" x14ac:dyDescent="0.3">
      <c r="A15" s="111" t="s">
        <v>54</v>
      </c>
      <c r="B15" s="112">
        <v>2000</v>
      </c>
      <c r="C15" s="111" t="s">
        <v>50</v>
      </c>
    </row>
    <row r="16" spans="1:3" x14ac:dyDescent="0.3">
      <c r="A16" s="257" t="s">
        <v>55</v>
      </c>
      <c r="B16" s="258"/>
      <c r="C16" s="258"/>
    </row>
    <row r="17" spans="1:16" x14ac:dyDescent="0.3">
      <c r="A17" s="111" t="s">
        <v>56</v>
      </c>
      <c r="B17" s="114">
        <v>0.62137100000000001</v>
      </c>
      <c r="C17" s="114" t="s">
        <v>57</v>
      </c>
    </row>
    <row r="18" spans="1:16" x14ac:dyDescent="0.3">
      <c r="A18" s="116" t="s">
        <v>58</v>
      </c>
      <c r="B18" s="117">
        <v>1.60934</v>
      </c>
      <c r="C18" s="114" t="s">
        <v>59</v>
      </c>
    </row>
    <row r="19" spans="1:16" x14ac:dyDescent="0.3">
      <c r="A19" s="254" t="s">
        <v>60</v>
      </c>
      <c r="B19" s="254"/>
      <c r="C19" s="254"/>
    </row>
    <row r="20" spans="1:16" x14ac:dyDescent="0.3">
      <c r="A20" s="114" t="s">
        <v>61</v>
      </c>
      <c r="B20" s="114">
        <v>5.7999999999999996E-3</v>
      </c>
      <c r="C20" s="114" t="s">
        <v>62</v>
      </c>
    </row>
    <row r="21" spans="1:16" x14ac:dyDescent="0.3">
      <c r="A21" s="114" t="s">
        <v>61</v>
      </c>
      <c r="B21" s="114">
        <v>3.7854100000000002</v>
      </c>
      <c r="C21" s="114" t="s">
        <v>63</v>
      </c>
    </row>
    <row r="22" spans="1:16" x14ac:dyDescent="0.3">
      <c r="A22" s="114" t="s">
        <v>64</v>
      </c>
      <c r="B22" s="114">
        <v>0.26417200000000002</v>
      </c>
      <c r="C22" s="114" t="s">
        <v>65</v>
      </c>
    </row>
    <row r="23" spans="1:16" x14ac:dyDescent="0.3">
      <c r="A23" s="114" t="s">
        <v>66</v>
      </c>
      <c r="B23" s="114">
        <v>748.05194800000004</v>
      </c>
      <c r="C23" s="114" t="s">
        <v>67</v>
      </c>
    </row>
    <row r="24" spans="1:16" x14ac:dyDescent="0.3">
      <c r="A24" s="111" t="s">
        <v>68</v>
      </c>
      <c r="B24" s="118"/>
      <c r="C24" s="118"/>
    </row>
    <row r="25" spans="1:16" x14ac:dyDescent="0.3">
      <c r="A25" s="119"/>
    </row>
    <row r="26" spans="1:16" x14ac:dyDescent="0.3">
      <c r="A26" s="253" t="s">
        <v>69</v>
      </c>
      <c r="B26" s="253"/>
      <c r="C26" s="253"/>
      <c r="D26" s="253"/>
      <c r="E26" s="253"/>
      <c r="F26" s="253"/>
      <c r="G26" s="253"/>
      <c r="H26" s="253"/>
    </row>
    <row r="27" spans="1:16" x14ac:dyDescent="0.3">
      <c r="J27" s="110" t="s">
        <v>70</v>
      </c>
    </row>
    <row r="28" spans="1:16" ht="27.6" x14ac:dyDescent="0.3">
      <c r="A28" s="259" t="s">
        <v>71</v>
      </c>
      <c r="B28" s="260" t="s">
        <v>72</v>
      </c>
      <c r="C28" s="261" t="s">
        <v>73</v>
      </c>
      <c r="D28" s="262" t="s">
        <v>74</v>
      </c>
      <c r="E28" s="260" t="s">
        <v>75</v>
      </c>
      <c r="F28" s="261" t="s">
        <v>76</v>
      </c>
      <c r="G28" s="262" t="s">
        <v>77</v>
      </c>
      <c r="H28" s="263" t="s">
        <v>78</v>
      </c>
      <c r="J28" s="110" t="s">
        <v>79</v>
      </c>
      <c r="P28" s="120"/>
    </row>
    <row r="29" spans="1:16" x14ac:dyDescent="0.3">
      <c r="A29" s="264" t="s">
        <v>80</v>
      </c>
      <c r="B29" s="265"/>
      <c r="C29" s="266"/>
      <c r="D29" s="267"/>
      <c r="E29" s="265">
        <v>1</v>
      </c>
      <c r="F29" s="266">
        <v>28</v>
      </c>
      <c r="G29" s="267">
        <v>265</v>
      </c>
      <c r="H29" s="268"/>
      <c r="J29" s="110" t="s">
        <v>81</v>
      </c>
    </row>
    <row r="30" spans="1:16" x14ac:dyDescent="0.3">
      <c r="A30" s="121" t="s">
        <v>43</v>
      </c>
      <c r="B30" s="121">
        <v>5.4440000000000002E-2</v>
      </c>
      <c r="C30" s="122">
        <v>1.0300000000000001E-6</v>
      </c>
      <c r="D30" s="123">
        <v>1.0000000000000001E-7</v>
      </c>
      <c r="E30" s="118">
        <f>B30*$B$11</f>
        <v>0.12001951279999999</v>
      </c>
      <c r="F30" s="124">
        <f>C30*$B$11*F29</f>
        <v>6.3581240800000003E-5</v>
      </c>
      <c r="G30" s="123">
        <f>G29*D30*$B$11</f>
        <v>5.842243E-5</v>
      </c>
      <c r="H30" s="118">
        <f>SUM(E30:G30)</f>
        <v>0.12014151647079999</v>
      </c>
      <c r="J30" s="110" t="s">
        <v>82</v>
      </c>
    </row>
    <row r="31" spans="1:16" x14ac:dyDescent="0.3">
      <c r="L31" s="125"/>
    </row>
    <row r="32" spans="1:16" ht="27.6" x14ac:dyDescent="0.3">
      <c r="A32" s="269" t="s">
        <v>83</v>
      </c>
      <c r="B32" s="270"/>
      <c r="C32" s="270"/>
      <c r="D32" s="260" t="s">
        <v>84</v>
      </c>
      <c r="E32" s="261" t="s">
        <v>85</v>
      </c>
      <c r="F32" s="262" t="s">
        <v>86</v>
      </c>
      <c r="G32" s="260" t="s">
        <v>87</v>
      </c>
      <c r="H32" s="261" t="s">
        <v>88</v>
      </c>
      <c r="I32" s="262" t="s">
        <v>89</v>
      </c>
      <c r="J32" s="262" t="s">
        <v>90</v>
      </c>
    </row>
    <row r="33" spans="1:10" x14ac:dyDescent="0.3">
      <c r="A33" s="264" t="s">
        <v>80</v>
      </c>
      <c r="B33" s="271"/>
      <c r="C33" s="271"/>
      <c r="D33" s="272"/>
      <c r="E33" s="273"/>
      <c r="F33" s="274"/>
      <c r="G33" s="272">
        <v>1</v>
      </c>
      <c r="H33" s="273">
        <v>28</v>
      </c>
      <c r="I33" s="274">
        <v>265</v>
      </c>
      <c r="J33" s="274"/>
    </row>
    <row r="34" spans="1:10" x14ac:dyDescent="0.3">
      <c r="A34" s="110" t="s">
        <v>91</v>
      </c>
      <c r="B34" s="110" t="s">
        <v>92</v>
      </c>
      <c r="D34" s="110">
        <v>651.19899999999996</v>
      </c>
      <c r="E34" s="110">
        <v>6.0999999999999999E-2</v>
      </c>
      <c r="F34" s="110">
        <v>8.9999999999999993E-3</v>
      </c>
      <c r="G34" s="126">
        <f>(D34/$B$3)</f>
        <v>0.65119899999999997</v>
      </c>
      <c r="H34" s="126">
        <f>(E34/$B$3)*H33</f>
        <v>1.7079999999999999E-3</v>
      </c>
      <c r="I34" s="126">
        <f>(F34/$B$3)*I33</f>
        <v>2.3849999999999995E-3</v>
      </c>
      <c r="J34" s="126">
        <f>SUM(G34:I34)</f>
        <v>0.65529199999999999</v>
      </c>
    </row>
    <row r="36" spans="1:10" x14ac:dyDescent="0.3">
      <c r="A36" s="110" t="s">
        <v>93</v>
      </c>
    </row>
    <row r="39" spans="1:10" x14ac:dyDescent="0.3">
      <c r="A39" s="118" t="s">
        <v>94</v>
      </c>
      <c r="B39" s="118">
        <v>7.9799999999999996E-2</v>
      </c>
      <c r="C39" s="127" t="s">
        <v>95</v>
      </c>
    </row>
    <row r="40" spans="1:10" x14ac:dyDescent="0.3">
      <c r="A40" s="118" t="s">
        <v>96</v>
      </c>
      <c r="B40" s="118">
        <f>B39*B5</f>
        <v>7.9800000000000002E-5</v>
      </c>
    </row>
    <row r="42" spans="1:10" x14ac:dyDescent="0.3">
      <c r="A42" s="128" t="s">
        <v>97</v>
      </c>
      <c r="B42" s="128">
        <f>0.41949+0.39196</f>
        <v>0.81145</v>
      </c>
      <c r="C42" s="129" t="s">
        <v>98</v>
      </c>
      <c r="D42" s="52"/>
      <c r="E42" s="52"/>
    </row>
    <row r="43" spans="1:10" x14ac:dyDescent="0.3">
      <c r="A43" s="128" t="s">
        <v>99</v>
      </c>
      <c r="B43" s="128">
        <f>B42*B7</f>
        <v>8.1145000000000002E-3</v>
      </c>
      <c r="C43" s="52"/>
      <c r="D43" s="52"/>
      <c r="E43" s="52"/>
    </row>
    <row r="45" spans="1:10" x14ac:dyDescent="0.3">
      <c r="A45" s="118" t="s">
        <v>100</v>
      </c>
      <c r="B45" s="118">
        <v>180</v>
      </c>
      <c r="C45" s="127" t="s">
        <v>101</v>
      </c>
    </row>
    <row r="46" spans="1:10" x14ac:dyDescent="0.3">
      <c r="A46" s="118" t="s">
        <v>102</v>
      </c>
      <c r="B46" s="118">
        <f>B45/5</f>
        <v>36</v>
      </c>
      <c r="C46" s="127"/>
    </row>
    <row r="47" spans="1:10" x14ac:dyDescent="0.3">
      <c r="A47" s="118" t="s">
        <v>103</v>
      </c>
      <c r="B47" s="118">
        <v>1000</v>
      </c>
      <c r="C47" s="127" t="s">
        <v>101</v>
      </c>
    </row>
    <row r="48" spans="1:10" x14ac:dyDescent="0.3">
      <c r="A48" s="118" t="s">
        <v>104</v>
      </c>
      <c r="B48" s="130">
        <f>B47/B45</f>
        <v>5.5555555555555554</v>
      </c>
    </row>
    <row r="49" spans="1:7" x14ac:dyDescent="0.3">
      <c r="A49" s="118" t="s">
        <v>105</v>
      </c>
      <c r="B49" s="118">
        <v>10</v>
      </c>
    </row>
    <row r="50" spans="1:7" x14ac:dyDescent="0.3">
      <c r="A50" s="118" t="s">
        <v>106</v>
      </c>
      <c r="B50" s="118">
        <v>30.4</v>
      </c>
    </row>
    <row r="52" spans="1:7" x14ac:dyDescent="0.3">
      <c r="A52" s="269" t="s">
        <v>107</v>
      </c>
      <c r="B52" s="269"/>
      <c r="C52" s="269"/>
    </row>
    <row r="53" spans="1:7" x14ac:dyDescent="0.3">
      <c r="A53" s="128" t="s">
        <v>108</v>
      </c>
      <c r="B53" s="128">
        <v>8.0000000000000004E-4</v>
      </c>
      <c r="C53" s="128" t="s">
        <v>109</v>
      </c>
    </row>
    <row r="54" spans="1:7" x14ac:dyDescent="0.3">
      <c r="A54" s="118" t="s">
        <v>110</v>
      </c>
      <c r="B54" s="118">
        <v>1E-4</v>
      </c>
      <c r="C54" s="118" t="s">
        <v>111</v>
      </c>
    </row>
    <row r="56" spans="1:7" x14ac:dyDescent="0.3">
      <c r="A56" s="269" t="s">
        <v>112</v>
      </c>
      <c r="B56" s="269" t="s">
        <v>113</v>
      </c>
      <c r="C56" s="269" t="s">
        <v>114</v>
      </c>
    </row>
    <row r="57" spans="1:7" x14ac:dyDescent="0.3">
      <c r="A57" s="118" t="s">
        <v>115</v>
      </c>
      <c r="B57" s="118"/>
    </row>
    <row r="58" spans="1:7" x14ac:dyDescent="0.3">
      <c r="A58" s="118" t="s">
        <v>116</v>
      </c>
      <c r="B58" s="118">
        <f>60*G60</f>
        <v>202.5</v>
      </c>
    </row>
    <row r="59" spans="1:7" x14ac:dyDescent="0.3">
      <c r="A59" s="118" t="s">
        <v>117</v>
      </c>
      <c r="B59" s="131">
        <f>B58*72/100</f>
        <v>145.80000000000001</v>
      </c>
    </row>
    <row r="60" spans="1:7" x14ac:dyDescent="0.3">
      <c r="A60" s="118" t="s">
        <v>118</v>
      </c>
      <c r="B60" s="118">
        <v>108</v>
      </c>
      <c r="C60" s="110">
        <v>32</v>
      </c>
      <c r="F60" s="110">
        <v>32</v>
      </c>
      <c r="G60" s="110">
        <f>B60/F60</f>
        <v>3.375</v>
      </c>
    </row>
    <row r="61" spans="1:7" x14ac:dyDescent="0.3">
      <c r="A61" s="118" t="s">
        <v>119</v>
      </c>
      <c r="B61" s="118">
        <v>45</v>
      </c>
      <c r="F61" s="132">
        <f>B61/G60</f>
        <v>13.333333333333334</v>
      </c>
    </row>
    <row r="62" spans="1:7" x14ac:dyDescent="0.3">
      <c r="A62" s="118" t="s">
        <v>120</v>
      </c>
      <c r="B62" s="131">
        <v>108</v>
      </c>
    </row>
    <row r="64" spans="1:7" x14ac:dyDescent="0.3">
      <c r="A64" s="127" t="s">
        <v>121</v>
      </c>
    </row>
    <row r="65" spans="1:10" x14ac:dyDescent="0.3">
      <c r="A65" s="127" t="s">
        <v>122</v>
      </c>
    </row>
    <row r="67" spans="1:10" x14ac:dyDescent="0.3">
      <c r="A67" s="118" t="s">
        <v>123</v>
      </c>
      <c r="B67" s="118">
        <v>5</v>
      </c>
      <c r="C67" s="127" t="s">
        <v>124</v>
      </c>
    </row>
    <row r="68" spans="1:10" x14ac:dyDescent="0.3">
      <c r="A68" s="118" t="s">
        <v>125</v>
      </c>
      <c r="B68" s="118">
        <v>171</v>
      </c>
      <c r="C68" s="127" t="s">
        <v>124</v>
      </c>
    </row>
    <row r="69" spans="1:10" x14ac:dyDescent="0.3">
      <c r="A69" s="133" t="s">
        <v>126</v>
      </c>
      <c r="B69" s="118">
        <f>B68/3</f>
        <v>57</v>
      </c>
      <c r="C69" s="127" t="s">
        <v>124</v>
      </c>
    </row>
    <row r="71" spans="1:10" x14ac:dyDescent="0.3">
      <c r="A71" s="134" t="s">
        <v>570</v>
      </c>
      <c r="B71" s="134">
        <v>1200</v>
      </c>
    </row>
    <row r="72" spans="1:10" hidden="1" x14ac:dyDescent="0.3"/>
    <row r="73" spans="1:10" ht="24.6" hidden="1" x14ac:dyDescent="0.3">
      <c r="A73" s="135" t="s">
        <v>127</v>
      </c>
      <c r="B73" s="136" t="s">
        <v>128</v>
      </c>
      <c r="C73" s="136" t="s">
        <v>129</v>
      </c>
      <c r="D73" s="136" t="s">
        <v>130</v>
      </c>
      <c r="E73" s="136" t="s">
        <v>131</v>
      </c>
      <c r="F73" s="136" t="s">
        <v>132</v>
      </c>
      <c r="G73" s="136" t="s">
        <v>133</v>
      </c>
      <c r="H73" s="136" t="s">
        <v>134</v>
      </c>
      <c r="I73" s="136" t="s">
        <v>135</v>
      </c>
      <c r="J73" s="136" t="s">
        <v>136</v>
      </c>
    </row>
    <row r="74" spans="1:10" hidden="1" x14ac:dyDescent="0.3">
      <c r="A74" s="332" t="s">
        <v>137</v>
      </c>
      <c r="B74" s="137" t="s">
        <v>138</v>
      </c>
      <c r="C74" s="137" t="s">
        <v>138</v>
      </c>
      <c r="D74" s="137" t="s">
        <v>139</v>
      </c>
      <c r="E74" s="137" t="s">
        <v>139</v>
      </c>
      <c r="F74" s="137" t="s">
        <v>140</v>
      </c>
      <c r="G74" s="137" t="s">
        <v>140</v>
      </c>
      <c r="H74" s="138" t="s">
        <v>141</v>
      </c>
      <c r="I74" s="138" t="s">
        <v>141</v>
      </c>
      <c r="J74" s="137" t="s">
        <v>142</v>
      </c>
    </row>
    <row r="75" spans="1:10" hidden="1" x14ac:dyDescent="0.3">
      <c r="A75" s="332"/>
      <c r="B75" s="137" t="s">
        <v>143</v>
      </c>
      <c r="C75" s="137" t="s">
        <v>143</v>
      </c>
      <c r="D75" s="137" t="s">
        <v>144</v>
      </c>
      <c r="E75" s="137" t="s">
        <v>144</v>
      </c>
      <c r="F75" s="138" t="s">
        <v>141</v>
      </c>
      <c r="G75" s="138" t="s">
        <v>141</v>
      </c>
      <c r="H75" s="137" t="s">
        <v>145</v>
      </c>
      <c r="I75" s="137" t="s">
        <v>145</v>
      </c>
      <c r="J75" s="137" t="s">
        <v>146</v>
      </c>
    </row>
    <row r="76" spans="1:10" hidden="1" x14ac:dyDescent="0.3">
      <c r="A76" s="332"/>
      <c r="B76" s="137" t="s">
        <v>139</v>
      </c>
      <c r="C76" s="137" t="s">
        <v>139</v>
      </c>
      <c r="D76" s="137" t="s">
        <v>147</v>
      </c>
      <c r="E76" s="137" t="s">
        <v>147</v>
      </c>
      <c r="F76" s="137" t="s">
        <v>148</v>
      </c>
      <c r="G76" s="137" t="s">
        <v>148</v>
      </c>
      <c r="H76" s="137" t="s">
        <v>149</v>
      </c>
      <c r="I76" s="137" t="s">
        <v>149</v>
      </c>
      <c r="J76" s="137"/>
    </row>
    <row r="77" spans="1:10" hidden="1" x14ac:dyDescent="0.3">
      <c r="A77" s="332"/>
      <c r="B77" s="137" t="s">
        <v>144</v>
      </c>
      <c r="C77" s="137" t="s">
        <v>144</v>
      </c>
      <c r="D77" s="137" t="s">
        <v>150</v>
      </c>
      <c r="E77" s="137" t="s">
        <v>150</v>
      </c>
      <c r="F77" s="137" t="s">
        <v>151</v>
      </c>
      <c r="G77" s="137" t="s">
        <v>151</v>
      </c>
      <c r="H77" s="137" t="s">
        <v>152</v>
      </c>
      <c r="I77" s="137" t="s">
        <v>152</v>
      </c>
      <c r="J77" s="137"/>
    </row>
    <row r="78" spans="1:10" hidden="1" x14ac:dyDescent="0.3">
      <c r="A78" s="332"/>
      <c r="B78" s="137" t="s">
        <v>153</v>
      </c>
      <c r="C78" s="137" t="s">
        <v>153</v>
      </c>
      <c r="D78" s="137" t="s">
        <v>154</v>
      </c>
      <c r="E78" s="137" t="s">
        <v>154</v>
      </c>
      <c r="F78" s="137" t="s">
        <v>155</v>
      </c>
      <c r="G78" s="137" t="s">
        <v>155</v>
      </c>
      <c r="H78" s="137" t="s">
        <v>156</v>
      </c>
      <c r="I78" s="137" t="s">
        <v>156</v>
      </c>
      <c r="J78" s="137"/>
    </row>
    <row r="79" spans="1:10" hidden="1" x14ac:dyDescent="0.3">
      <c r="A79" s="332"/>
      <c r="B79" s="137" t="s">
        <v>157</v>
      </c>
      <c r="C79" s="137" t="s">
        <v>157</v>
      </c>
      <c r="D79" s="137" t="s">
        <v>140</v>
      </c>
      <c r="E79" s="137" t="s">
        <v>140</v>
      </c>
      <c r="F79" s="137" t="s">
        <v>158</v>
      </c>
      <c r="G79" s="137" t="s">
        <v>158</v>
      </c>
      <c r="H79" s="137" t="s">
        <v>159</v>
      </c>
      <c r="I79" s="137" t="s">
        <v>159</v>
      </c>
      <c r="J79" s="137"/>
    </row>
    <row r="80" spans="1:10" hidden="1" x14ac:dyDescent="0.3">
      <c r="A80" s="332"/>
      <c r="B80" s="137" t="s">
        <v>160</v>
      </c>
      <c r="C80" s="137" t="s">
        <v>160</v>
      </c>
      <c r="D80" s="137" t="s">
        <v>161</v>
      </c>
      <c r="E80" s="137" t="s">
        <v>161</v>
      </c>
      <c r="F80" s="137" t="s">
        <v>162</v>
      </c>
      <c r="G80" s="137" t="s">
        <v>162</v>
      </c>
      <c r="H80" s="137" t="s">
        <v>163</v>
      </c>
      <c r="I80" s="137" t="s">
        <v>163</v>
      </c>
      <c r="J80" s="137"/>
    </row>
    <row r="81" spans="1:10" hidden="1" x14ac:dyDescent="0.3">
      <c r="A81" s="332"/>
      <c r="B81" s="137"/>
      <c r="C81" s="137"/>
      <c r="D81" s="138" t="s">
        <v>141</v>
      </c>
      <c r="E81" s="138" t="s">
        <v>141</v>
      </c>
      <c r="F81" s="137"/>
      <c r="G81" s="137"/>
      <c r="H81" s="137" t="s">
        <v>164</v>
      </c>
      <c r="I81" s="137" t="s">
        <v>164</v>
      </c>
      <c r="J81" s="137"/>
    </row>
    <row r="82" spans="1:10" hidden="1" x14ac:dyDescent="0.3">
      <c r="A82" s="332"/>
      <c r="B82" s="138"/>
      <c r="C82" s="138"/>
      <c r="D82" s="138" t="s">
        <v>157</v>
      </c>
      <c r="E82" s="138" t="s">
        <v>157</v>
      </c>
      <c r="F82" s="137"/>
      <c r="G82" s="137"/>
      <c r="H82" s="137"/>
      <c r="I82" s="137"/>
      <c r="J82" s="137"/>
    </row>
    <row r="83" spans="1:10" hidden="1" x14ac:dyDescent="0.3">
      <c r="A83" s="332"/>
      <c r="B83" s="138"/>
      <c r="C83" s="138"/>
      <c r="D83" s="137" t="s">
        <v>165</v>
      </c>
      <c r="E83" s="137" t="s">
        <v>165</v>
      </c>
      <c r="F83" s="137"/>
      <c r="G83" s="137"/>
      <c r="H83" s="137"/>
      <c r="I83" s="137"/>
      <c r="J83" s="137"/>
    </row>
    <row r="84" spans="1:10" hidden="1" x14ac:dyDescent="0.3">
      <c r="A84" s="332"/>
      <c r="B84" s="138"/>
      <c r="C84" s="138"/>
      <c r="D84" s="137" t="s">
        <v>166</v>
      </c>
      <c r="E84" s="137" t="s">
        <v>166</v>
      </c>
      <c r="F84" s="137"/>
      <c r="G84" s="137"/>
      <c r="H84" s="137"/>
      <c r="I84" s="137"/>
      <c r="J84" s="137"/>
    </row>
    <row r="86" spans="1:10" x14ac:dyDescent="0.3">
      <c r="A86" s="269" t="s">
        <v>112</v>
      </c>
    </row>
    <row r="87" spans="1:10" x14ac:dyDescent="0.3">
      <c r="A87" s="118" t="s">
        <v>115</v>
      </c>
    </row>
    <row r="88" spans="1:10" x14ac:dyDescent="0.3">
      <c r="A88" s="118" t="s">
        <v>116</v>
      </c>
    </row>
    <row r="89" spans="1:10" x14ac:dyDescent="0.3">
      <c r="A89" s="118" t="s">
        <v>117</v>
      </c>
    </row>
    <row r="90" spans="1:10" x14ac:dyDescent="0.3">
      <c r="A90" s="118" t="s">
        <v>118</v>
      </c>
    </row>
    <row r="91" spans="1:10" x14ac:dyDescent="0.3">
      <c r="A91" s="118" t="s">
        <v>120</v>
      </c>
    </row>
    <row r="93" spans="1:10" x14ac:dyDescent="0.3">
      <c r="A93" s="275" t="s">
        <v>167</v>
      </c>
      <c r="B93" s="275" t="s">
        <v>168</v>
      </c>
      <c r="C93" s="275" t="s">
        <v>169</v>
      </c>
      <c r="D93" s="275" t="s">
        <v>170</v>
      </c>
    </row>
    <row r="94" spans="1:10" x14ac:dyDescent="0.3">
      <c r="A94" s="139" t="s">
        <v>171</v>
      </c>
      <c r="B94" s="118">
        <v>40</v>
      </c>
      <c r="C94" s="118" t="str">
        <f>A94&amp;B94</f>
        <v>Incandescent_Lighting40</v>
      </c>
      <c r="D94" s="118">
        <v>5</v>
      </c>
      <c r="F94" s="110" t="s">
        <v>172</v>
      </c>
    </row>
    <row r="95" spans="1:10" x14ac:dyDescent="0.3">
      <c r="A95" s="139" t="s">
        <v>171</v>
      </c>
      <c r="B95" s="118">
        <v>60</v>
      </c>
      <c r="C95" s="118" t="str">
        <f t="shared" ref="C95:C108" si="0">A95&amp;B95</f>
        <v>Incandescent_Lighting60</v>
      </c>
      <c r="D95" s="118">
        <v>9</v>
      </c>
      <c r="F95" s="110" t="s">
        <v>173</v>
      </c>
    </row>
    <row r="96" spans="1:10" x14ac:dyDescent="0.3">
      <c r="A96" s="139" t="s">
        <v>171</v>
      </c>
      <c r="B96" s="118">
        <v>75</v>
      </c>
      <c r="C96" s="118" t="str">
        <f t="shared" si="0"/>
        <v>Incandescent_Lighting75</v>
      </c>
      <c r="D96" s="118">
        <v>11</v>
      </c>
    </row>
    <row r="97" spans="1:6" x14ac:dyDescent="0.3">
      <c r="A97" s="139" t="s">
        <v>171</v>
      </c>
      <c r="B97" s="118">
        <v>100</v>
      </c>
      <c r="C97" s="118" t="str">
        <f t="shared" si="0"/>
        <v>Incandescent_Lighting100</v>
      </c>
      <c r="D97" s="118">
        <v>16</v>
      </c>
    </row>
    <row r="98" spans="1:6" x14ac:dyDescent="0.3">
      <c r="A98" s="139" t="s">
        <v>174</v>
      </c>
      <c r="B98" s="118">
        <v>29</v>
      </c>
      <c r="C98" s="118" t="str">
        <f t="shared" si="0"/>
        <v>Halogen_Lighting29</v>
      </c>
      <c r="D98" s="118">
        <v>9</v>
      </c>
    </row>
    <row r="99" spans="1:6" x14ac:dyDescent="0.3">
      <c r="A99" s="139" t="s">
        <v>174</v>
      </c>
      <c r="B99" s="118">
        <v>43</v>
      </c>
      <c r="C99" s="118" t="str">
        <f t="shared" si="0"/>
        <v>Halogen_Lighting43</v>
      </c>
      <c r="D99" s="118">
        <v>13</v>
      </c>
    </row>
    <row r="100" spans="1:6" x14ac:dyDescent="0.3">
      <c r="A100" s="139" t="s">
        <v>174</v>
      </c>
      <c r="B100" s="118">
        <v>53</v>
      </c>
      <c r="C100" s="118" t="str">
        <f t="shared" si="0"/>
        <v>Halogen_Lighting53</v>
      </c>
      <c r="D100" s="118">
        <v>19</v>
      </c>
    </row>
    <row r="101" spans="1:6" x14ac:dyDescent="0.3">
      <c r="A101" s="139" t="s">
        <v>174</v>
      </c>
      <c r="B101" s="118">
        <v>72</v>
      </c>
      <c r="C101" s="118" t="str">
        <f t="shared" si="0"/>
        <v>Halogen_Lighting72</v>
      </c>
      <c r="D101" s="118">
        <v>23</v>
      </c>
    </row>
    <row r="102" spans="1:6" x14ac:dyDescent="0.3">
      <c r="A102" s="139" t="s">
        <v>175</v>
      </c>
      <c r="B102" s="118">
        <v>13</v>
      </c>
      <c r="C102" s="118" t="str">
        <f t="shared" si="0"/>
        <v>CFL_Lighting13</v>
      </c>
      <c r="D102" s="118">
        <v>6</v>
      </c>
      <c r="F102" s="127" t="s">
        <v>176</v>
      </c>
    </row>
    <row r="103" spans="1:6" x14ac:dyDescent="0.3">
      <c r="A103" s="139" t="s">
        <v>175</v>
      </c>
      <c r="B103" s="118">
        <v>15</v>
      </c>
      <c r="C103" s="118" t="str">
        <f t="shared" si="0"/>
        <v>CFL_Lighting15</v>
      </c>
      <c r="D103" s="118">
        <v>8</v>
      </c>
    </row>
    <row r="104" spans="1:6" x14ac:dyDescent="0.3">
      <c r="A104" s="139" t="s">
        <v>175</v>
      </c>
      <c r="B104" s="118">
        <v>32</v>
      </c>
      <c r="C104" s="118" t="str">
        <f>A104&amp;B104</f>
        <v>CFL_Lighting32</v>
      </c>
      <c r="D104" s="118">
        <v>26</v>
      </c>
    </row>
    <row r="105" spans="1:6" x14ac:dyDescent="0.3">
      <c r="A105" s="139" t="s">
        <v>177</v>
      </c>
      <c r="B105" s="118">
        <v>40</v>
      </c>
      <c r="C105" s="118" t="str">
        <f t="shared" si="0"/>
        <v>Not_sure40</v>
      </c>
      <c r="D105" s="118">
        <v>5</v>
      </c>
    </row>
    <row r="106" spans="1:6" x14ac:dyDescent="0.3">
      <c r="A106" s="118" t="s">
        <v>177</v>
      </c>
      <c r="B106" s="118">
        <v>60</v>
      </c>
      <c r="C106" s="118" t="str">
        <f t="shared" si="0"/>
        <v>Not_sure60</v>
      </c>
      <c r="D106" s="118">
        <v>9</v>
      </c>
    </row>
    <row r="107" spans="1:6" x14ac:dyDescent="0.3">
      <c r="A107" s="118" t="s">
        <v>177</v>
      </c>
      <c r="B107" s="118">
        <v>75</v>
      </c>
      <c r="C107" s="118" t="str">
        <f t="shared" si="0"/>
        <v>Not_sure75</v>
      </c>
      <c r="D107" s="118">
        <v>11</v>
      </c>
    </row>
    <row r="108" spans="1:6" x14ac:dyDescent="0.3">
      <c r="A108" s="118" t="s">
        <v>177</v>
      </c>
      <c r="B108" s="118">
        <v>100</v>
      </c>
      <c r="C108" s="118" t="str">
        <f t="shared" si="0"/>
        <v>Not_sure100</v>
      </c>
      <c r="D108" s="118">
        <v>16</v>
      </c>
    </row>
    <row r="112" spans="1:6" x14ac:dyDescent="0.3">
      <c r="A112" s="275" t="s">
        <v>178</v>
      </c>
      <c r="B112" s="275" t="s">
        <v>171</v>
      </c>
      <c r="C112" s="275" t="s">
        <v>174</v>
      </c>
      <c r="D112" s="275" t="s">
        <v>175</v>
      </c>
      <c r="E112" s="275" t="s">
        <v>177</v>
      </c>
    </row>
    <row r="113" spans="1:7" x14ac:dyDescent="0.3">
      <c r="A113" s="118"/>
      <c r="B113" s="118">
        <v>40</v>
      </c>
      <c r="C113" s="118">
        <v>29</v>
      </c>
      <c r="D113" s="118">
        <v>13</v>
      </c>
      <c r="E113" s="118">
        <v>40</v>
      </c>
    </row>
    <row r="114" spans="1:7" x14ac:dyDescent="0.3">
      <c r="A114" s="118"/>
      <c r="B114" s="118">
        <v>60</v>
      </c>
      <c r="C114" s="118">
        <v>43</v>
      </c>
      <c r="D114" s="118">
        <v>15</v>
      </c>
      <c r="E114" s="118">
        <v>60</v>
      </c>
    </row>
    <row r="115" spans="1:7" x14ac:dyDescent="0.3">
      <c r="A115" s="118"/>
      <c r="B115" s="118">
        <v>75</v>
      </c>
      <c r="C115" s="118">
        <v>53</v>
      </c>
      <c r="D115" s="118">
        <v>32</v>
      </c>
      <c r="E115" s="118">
        <v>75</v>
      </c>
    </row>
    <row r="116" spans="1:7" x14ac:dyDescent="0.3">
      <c r="A116" s="140"/>
      <c r="B116" s="140">
        <v>100</v>
      </c>
      <c r="C116" s="118">
        <v>72</v>
      </c>
      <c r="D116" s="118"/>
      <c r="E116" s="118">
        <v>100</v>
      </c>
    </row>
    <row r="117" spans="1:7" x14ac:dyDescent="0.3">
      <c r="A117" s="141" t="s">
        <v>552</v>
      </c>
      <c r="B117" s="142">
        <f>6500/3412</f>
        <v>1.9050410316529895</v>
      </c>
      <c r="C117" s="143" t="s">
        <v>551</v>
      </c>
    </row>
    <row r="118" spans="1:7" x14ac:dyDescent="0.3">
      <c r="A118" s="144" t="s">
        <v>179</v>
      </c>
      <c r="B118" s="145">
        <v>29.8</v>
      </c>
      <c r="C118" s="146" t="s">
        <v>180</v>
      </c>
    </row>
    <row r="119" spans="1:7" s="149" customFormat="1" x14ac:dyDescent="0.3">
      <c r="A119" s="147" t="s">
        <v>181</v>
      </c>
      <c r="B119" s="148">
        <f>((89627*1000000)/(2271398*0.33))/1903</f>
        <v>62.833737409508252</v>
      </c>
      <c r="C119" s="149" t="s">
        <v>182</v>
      </c>
    </row>
    <row r="120" spans="1:7" s="149" customFormat="1" x14ac:dyDescent="0.3">
      <c r="A120" s="150" t="s">
        <v>183</v>
      </c>
      <c r="C120" s="151" t="s">
        <v>184</v>
      </c>
      <c r="D120" s="151" t="s">
        <v>185</v>
      </c>
      <c r="E120" s="152" t="s">
        <v>186</v>
      </c>
      <c r="F120" s="151" t="s">
        <v>187</v>
      </c>
    </row>
    <row r="121" spans="1:7" x14ac:dyDescent="0.3">
      <c r="A121" s="253" t="s">
        <v>188</v>
      </c>
      <c r="B121" s="253"/>
      <c r="C121" s="253"/>
      <c r="D121" s="253"/>
      <c r="E121" s="253"/>
      <c r="F121" s="253"/>
      <c r="G121" s="253"/>
    </row>
    <row r="123" spans="1:7" x14ac:dyDescent="0.3">
      <c r="A123" s="153"/>
    </row>
    <row r="124" spans="1:7" x14ac:dyDescent="0.3">
      <c r="A124" s="118" t="s">
        <v>189</v>
      </c>
      <c r="B124" s="118">
        <v>9.9</v>
      </c>
      <c r="C124" s="127" t="s">
        <v>190</v>
      </c>
    </row>
    <row r="125" spans="1:7" x14ac:dyDescent="0.3">
      <c r="A125" s="118" t="s">
        <v>191</v>
      </c>
      <c r="B125" s="154">
        <f>B124*B14</f>
        <v>2.1825767700000002E-2</v>
      </c>
    </row>
    <row r="127" spans="1:7" x14ac:dyDescent="0.3">
      <c r="A127" s="118" t="s">
        <v>192</v>
      </c>
      <c r="B127" s="118">
        <v>5</v>
      </c>
      <c r="C127" s="127" t="s">
        <v>193</v>
      </c>
    </row>
    <row r="128" spans="1:7" x14ac:dyDescent="0.3">
      <c r="A128" s="118" t="s">
        <v>194</v>
      </c>
      <c r="B128" s="118">
        <v>5</v>
      </c>
    </row>
    <row r="130" spans="1:9" x14ac:dyDescent="0.3">
      <c r="A130" s="118" t="s">
        <v>195</v>
      </c>
      <c r="B130" s="118">
        <f>B125*B128</f>
        <v>0.10912883850000001</v>
      </c>
    </row>
    <row r="133" spans="1:9" x14ac:dyDescent="0.3">
      <c r="A133" s="118" t="s">
        <v>196</v>
      </c>
      <c r="B133" s="118">
        <v>1</v>
      </c>
    </row>
    <row r="135" spans="1:9" ht="15.6" x14ac:dyDescent="0.3">
      <c r="A135" s="155"/>
    </row>
    <row r="136" spans="1:9" x14ac:dyDescent="0.3">
      <c r="A136" s="118" t="s">
        <v>197</v>
      </c>
      <c r="B136" s="118">
        <v>1000</v>
      </c>
      <c r="C136" s="127" t="s">
        <v>198</v>
      </c>
    </row>
    <row r="137" spans="1:9" x14ac:dyDescent="0.3">
      <c r="A137" s="118" t="s">
        <v>199</v>
      </c>
      <c r="B137" s="118">
        <v>1</v>
      </c>
      <c r="C137" s="127" t="s">
        <v>200</v>
      </c>
    </row>
    <row r="138" spans="1:9" x14ac:dyDescent="0.3">
      <c r="A138" s="118" t="s">
        <v>201</v>
      </c>
      <c r="B138" s="118">
        <f>B137*0.5*365</f>
        <v>182.5</v>
      </c>
    </row>
    <row r="141" spans="1:9" x14ac:dyDescent="0.3">
      <c r="A141" s="118" t="s">
        <v>202</v>
      </c>
      <c r="B141" s="118">
        <v>500</v>
      </c>
      <c r="C141" s="118" t="s">
        <v>203</v>
      </c>
      <c r="D141" s="156"/>
      <c r="E141" s="157"/>
      <c r="F141" s="156"/>
      <c r="G141" s="157"/>
      <c r="H141" s="157"/>
      <c r="I141" s="157"/>
    </row>
    <row r="142" spans="1:9" x14ac:dyDescent="0.3">
      <c r="A142" s="118" t="s">
        <v>204</v>
      </c>
      <c r="B142" s="118">
        <v>10</v>
      </c>
      <c r="C142" s="118" t="s">
        <v>205</v>
      </c>
      <c r="D142" s="158" t="s">
        <v>206</v>
      </c>
      <c r="E142" s="157"/>
      <c r="F142" s="157"/>
      <c r="G142" s="157"/>
      <c r="H142" s="157"/>
      <c r="I142" s="157"/>
    </row>
    <row r="143" spans="1:9" x14ac:dyDescent="0.3">
      <c r="A143" s="118" t="s">
        <v>207</v>
      </c>
      <c r="B143" s="118">
        <v>20</v>
      </c>
      <c r="C143" s="118" t="s">
        <v>50</v>
      </c>
      <c r="D143" s="156"/>
      <c r="E143" s="157"/>
      <c r="F143" s="157"/>
      <c r="G143" s="157"/>
      <c r="H143" s="157"/>
      <c r="I143" s="157"/>
    </row>
    <row r="144" spans="1:9" x14ac:dyDescent="0.3">
      <c r="A144" s="118" t="s">
        <v>208</v>
      </c>
      <c r="B144" s="118">
        <f>0.176/B12*500</f>
        <v>5.5</v>
      </c>
      <c r="C144" s="118" t="s">
        <v>50</v>
      </c>
      <c r="D144" s="158" t="s">
        <v>209</v>
      </c>
      <c r="E144" s="157"/>
      <c r="F144" s="156" t="s">
        <v>210</v>
      </c>
      <c r="G144" s="127" t="s">
        <v>211</v>
      </c>
      <c r="H144" s="157"/>
      <c r="I144" s="157"/>
    </row>
    <row r="145" spans="1:9" x14ac:dyDescent="0.3">
      <c r="A145" s="118" t="s">
        <v>212</v>
      </c>
      <c r="B145" s="118">
        <v>10</v>
      </c>
      <c r="C145" s="118"/>
      <c r="D145" s="159" t="s">
        <v>213</v>
      </c>
      <c r="E145" s="157"/>
      <c r="F145" s="159" t="s">
        <v>214</v>
      </c>
      <c r="G145" s="157"/>
      <c r="H145" s="157"/>
      <c r="I145" s="157"/>
    </row>
    <row r="146" spans="1:9" x14ac:dyDescent="0.3">
      <c r="A146" s="118" t="s">
        <v>215</v>
      </c>
      <c r="B146" s="118">
        <v>18000</v>
      </c>
      <c r="C146" s="118" t="s">
        <v>216</v>
      </c>
      <c r="D146" s="158" t="s">
        <v>217</v>
      </c>
      <c r="E146" s="157"/>
      <c r="F146" s="156" t="s">
        <v>218</v>
      </c>
      <c r="G146" s="156" t="s">
        <v>219</v>
      </c>
      <c r="H146" s="160"/>
      <c r="I146" s="157"/>
    </row>
    <row r="147" spans="1:9" x14ac:dyDescent="0.3">
      <c r="A147" s="118" t="s">
        <v>220</v>
      </c>
      <c r="B147" s="118">
        <v>14900</v>
      </c>
      <c r="C147" s="118" t="s">
        <v>216</v>
      </c>
      <c r="D147" s="158" t="s">
        <v>217</v>
      </c>
      <c r="E147" s="157"/>
      <c r="F147" s="156" t="s">
        <v>218</v>
      </c>
      <c r="G147" s="156" t="s">
        <v>219</v>
      </c>
      <c r="H147" s="160"/>
      <c r="I147" s="157"/>
    </row>
    <row r="148" spans="1:9" x14ac:dyDescent="0.3">
      <c r="A148" s="118" t="s">
        <v>221</v>
      </c>
      <c r="B148" s="118">
        <v>12800</v>
      </c>
      <c r="C148" s="118" t="s">
        <v>216</v>
      </c>
      <c r="D148" s="158" t="s">
        <v>217</v>
      </c>
      <c r="E148" s="157"/>
      <c r="F148" s="156" t="s">
        <v>218</v>
      </c>
      <c r="G148" s="156" t="s">
        <v>219</v>
      </c>
      <c r="H148" s="160"/>
      <c r="I148" s="157"/>
    </row>
    <row r="149" spans="1:9" x14ac:dyDescent="0.3">
      <c r="A149" s="118" t="s">
        <v>222</v>
      </c>
      <c r="B149" s="118">
        <v>7610</v>
      </c>
      <c r="C149" s="118" t="s">
        <v>216</v>
      </c>
      <c r="D149" s="158" t="s">
        <v>217</v>
      </c>
      <c r="E149" s="157"/>
      <c r="F149" s="156" t="s">
        <v>218</v>
      </c>
      <c r="G149" s="156" t="s">
        <v>219</v>
      </c>
      <c r="H149" s="160"/>
      <c r="I149" s="157"/>
    </row>
    <row r="150" spans="1:9" x14ac:dyDescent="0.3">
      <c r="A150" s="118" t="s">
        <v>223</v>
      </c>
      <c r="B150" s="154">
        <f>-(B147-B146)/30</f>
        <v>103.33333333333333</v>
      </c>
      <c r="C150" s="118" t="s">
        <v>224</v>
      </c>
      <c r="D150" s="156"/>
      <c r="E150" s="157"/>
      <c r="F150" s="157"/>
      <c r="G150" s="157"/>
      <c r="H150" s="157"/>
      <c r="I150" s="157"/>
    </row>
    <row r="152" spans="1:9" x14ac:dyDescent="0.3">
      <c r="A152" s="118" t="s">
        <v>215</v>
      </c>
      <c r="B152" s="118">
        <f>B146/B$15</f>
        <v>9</v>
      </c>
      <c r="C152" s="118" t="s">
        <v>225</v>
      </c>
    </row>
    <row r="153" spans="1:9" x14ac:dyDescent="0.3">
      <c r="A153" s="161" t="s">
        <v>226</v>
      </c>
      <c r="B153" s="118">
        <f>B147/B$15</f>
        <v>7.45</v>
      </c>
      <c r="C153" s="118" t="s">
        <v>225</v>
      </c>
    </row>
    <row r="154" spans="1:9" x14ac:dyDescent="0.3">
      <c r="A154" s="161" t="s">
        <v>227</v>
      </c>
      <c r="B154" s="118">
        <f>B148/B$15</f>
        <v>6.4</v>
      </c>
      <c r="C154" s="118" t="s">
        <v>225</v>
      </c>
    </row>
    <row r="155" spans="1:9" x14ac:dyDescent="0.3">
      <c r="A155" s="118" t="s">
        <v>222</v>
      </c>
      <c r="B155" s="118">
        <f>B149/B$15</f>
        <v>3.8050000000000002</v>
      </c>
      <c r="C155" s="118" t="s">
        <v>225</v>
      </c>
    </row>
    <row r="156" spans="1:9" x14ac:dyDescent="0.3">
      <c r="A156" s="118" t="s">
        <v>223</v>
      </c>
      <c r="B156" s="162">
        <f>B150/B$15</f>
        <v>5.1666666666666666E-2</v>
      </c>
      <c r="C156" s="118" t="s">
        <v>224</v>
      </c>
    </row>
    <row r="158" spans="1:9" x14ac:dyDescent="0.3">
      <c r="A158" s="118" t="s">
        <v>228</v>
      </c>
      <c r="B158" s="162">
        <v>1.27879E-2</v>
      </c>
      <c r="C158" s="110" t="s">
        <v>229</v>
      </c>
    </row>
    <row r="159" spans="1:9" x14ac:dyDescent="0.3">
      <c r="A159" s="118" t="s">
        <v>230</v>
      </c>
      <c r="B159" s="162">
        <v>2.161399E-2</v>
      </c>
      <c r="C159" s="110" t="s">
        <v>229</v>
      </c>
    </row>
    <row r="160" spans="1:9" x14ac:dyDescent="0.3">
      <c r="B160" s="163"/>
    </row>
    <row r="162" spans="1:6" x14ac:dyDescent="0.3">
      <c r="A162" s="276" t="s">
        <v>231</v>
      </c>
      <c r="B162" s="277" t="s">
        <v>232</v>
      </c>
      <c r="C162" s="278" t="s">
        <v>233</v>
      </c>
      <c r="D162" s="164"/>
      <c r="E162" s="156"/>
      <c r="F162" s="156"/>
    </row>
    <row r="163" spans="1:6" x14ac:dyDescent="0.3">
      <c r="A163" s="118" t="s">
        <v>234</v>
      </c>
      <c r="B163" s="165">
        <f>0.36</f>
        <v>0.36</v>
      </c>
      <c r="C163" s="165" t="s">
        <v>235</v>
      </c>
      <c r="D163" s="166" t="s">
        <v>236</v>
      </c>
      <c r="E163" s="146" t="s">
        <v>237</v>
      </c>
      <c r="F163" s="156"/>
    </row>
    <row r="164" spans="1:6" x14ac:dyDescent="0.3">
      <c r="A164" s="118" t="s">
        <v>238</v>
      </c>
      <c r="B164" s="118">
        <v>-2.85</v>
      </c>
      <c r="C164" s="118" t="s">
        <v>235</v>
      </c>
      <c r="D164" s="166" t="s">
        <v>236</v>
      </c>
      <c r="E164" s="146" t="s">
        <v>239</v>
      </c>
      <c r="F164" s="156"/>
    </row>
    <row r="165" spans="1:6" x14ac:dyDescent="0.3">
      <c r="A165" s="118" t="s">
        <v>240</v>
      </c>
      <c r="B165" s="118">
        <v>-0.16</v>
      </c>
      <c r="C165" s="118" t="s">
        <v>235</v>
      </c>
      <c r="D165" s="166" t="s">
        <v>236</v>
      </c>
      <c r="E165" s="146" t="s">
        <v>241</v>
      </c>
      <c r="F165" s="156"/>
    </row>
    <row r="168" spans="1:6" x14ac:dyDescent="0.3">
      <c r="A168" s="118" t="s">
        <v>234</v>
      </c>
      <c r="B168" s="167">
        <f>B163*B$10/B$15</f>
        <v>0.39683160000000001</v>
      </c>
      <c r="C168" s="118" t="s">
        <v>242</v>
      </c>
    </row>
    <row r="169" spans="1:6" x14ac:dyDescent="0.3">
      <c r="A169" s="118" t="s">
        <v>238</v>
      </c>
      <c r="B169" s="167">
        <f>B164*B$10/B$15</f>
        <v>-3.1415834999999999</v>
      </c>
      <c r="C169" s="118" t="s">
        <v>242</v>
      </c>
    </row>
    <row r="170" spans="1:6" x14ac:dyDescent="0.3">
      <c r="A170" s="118" t="s">
        <v>240</v>
      </c>
      <c r="B170" s="167">
        <f>B165*B$10/B$15</f>
        <v>-0.17636959999999999</v>
      </c>
      <c r="C170" s="118" t="s">
        <v>242</v>
      </c>
    </row>
    <row r="173" spans="1:6" x14ac:dyDescent="0.3">
      <c r="A173" s="118" t="s">
        <v>243</v>
      </c>
      <c r="B173" s="118">
        <v>21.92</v>
      </c>
      <c r="C173" s="127" t="s">
        <v>244</v>
      </c>
    </row>
    <row r="174" spans="1:6" x14ac:dyDescent="0.3">
      <c r="A174" s="118" t="s">
        <v>245</v>
      </c>
      <c r="B174" s="118">
        <f>B173/20</f>
        <v>1.0960000000000001</v>
      </c>
    </row>
    <row r="176" spans="1:6" x14ac:dyDescent="0.3">
      <c r="A176" s="118" t="s">
        <v>234</v>
      </c>
      <c r="B176" s="118"/>
      <c r="C176" s="118"/>
    </row>
    <row r="177" spans="1:4" x14ac:dyDescent="0.3">
      <c r="A177" s="118" t="s">
        <v>246</v>
      </c>
      <c r="B177" s="118">
        <v>250</v>
      </c>
      <c r="C177" s="118" t="s">
        <v>247</v>
      </c>
      <c r="D177" s="127" t="s">
        <v>248</v>
      </c>
    </row>
    <row r="179" spans="1:4" x14ac:dyDescent="0.3">
      <c r="A179" s="134" t="s">
        <v>584</v>
      </c>
      <c r="B179" s="134">
        <v>35</v>
      </c>
      <c r="C179" s="110" t="s">
        <v>585</v>
      </c>
    </row>
    <row r="180" spans="1:4" x14ac:dyDescent="0.3">
      <c r="A180" s="134" t="s">
        <v>587</v>
      </c>
      <c r="B180" s="134">
        <f>17.09/4</f>
        <v>4.2725</v>
      </c>
      <c r="C180" s="110" t="s">
        <v>586</v>
      </c>
    </row>
    <row r="181" spans="1:4" x14ac:dyDescent="0.3">
      <c r="A181" s="134" t="s">
        <v>597</v>
      </c>
      <c r="B181" s="168">
        <v>225</v>
      </c>
      <c r="C181" s="134" t="s">
        <v>598</v>
      </c>
      <c r="D181" s="110" t="s">
        <v>599</v>
      </c>
    </row>
    <row r="183" spans="1:4" x14ac:dyDescent="0.3">
      <c r="A183" s="118" t="s">
        <v>249</v>
      </c>
      <c r="B183" s="118">
        <f>B174*B20</f>
        <v>6.3568000000000001E-3</v>
      </c>
    </row>
    <row r="184" spans="1:4" x14ac:dyDescent="0.3">
      <c r="A184" s="118" t="s">
        <v>250</v>
      </c>
      <c r="B184" s="118">
        <f>B183*B177</f>
        <v>1.5891999999999999</v>
      </c>
    </row>
    <row r="187" spans="1:4" x14ac:dyDescent="0.3">
      <c r="A187" s="169" t="s">
        <v>251</v>
      </c>
      <c r="B187" s="118">
        <v>2.3199999999999998</v>
      </c>
      <c r="C187" s="127" t="s">
        <v>252</v>
      </c>
    </row>
    <row r="189" spans="1:4" x14ac:dyDescent="0.3">
      <c r="A189" s="276" t="s">
        <v>253</v>
      </c>
      <c r="B189" s="276"/>
      <c r="C189" s="276"/>
      <c r="D189" s="127"/>
    </row>
    <row r="190" spans="1:4" x14ac:dyDescent="0.3">
      <c r="A190" s="110" t="s">
        <v>254</v>
      </c>
      <c r="B190" s="110">
        <v>6.25E-2</v>
      </c>
      <c r="C190" s="143" t="s">
        <v>255</v>
      </c>
    </row>
    <row r="192" spans="1:4" x14ac:dyDescent="0.3">
      <c r="A192" s="276" t="s">
        <v>256</v>
      </c>
      <c r="B192" s="276"/>
      <c r="C192" s="276"/>
      <c r="D192" s="127"/>
    </row>
    <row r="193" spans="1:6" x14ac:dyDescent="0.3">
      <c r="A193" s="110" t="s">
        <v>257</v>
      </c>
      <c r="B193" s="110">
        <v>5.6000000000000001E-2</v>
      </c>
      <c r="C193" s="143" t="s">
        <v>258</v>
      </c>
    </row>
    <row r="194" spans="1:6" x14ac:dyDescent="0.3">
      <c r="A194" s="110" t="s">
        <v>259</v>
      </c>
      <c r="B194" s="110">
        <v>0.05</v>
      </c>
      <c r="C194" s="143" t="s">
        <v>260</v>
      </c>
    </row>
    <row r="195" spans="1:6" x14ac:dyDescent="0.3">
      <c r="A195" s="110" t="s">
        <v>261</v>
      </c>
      <c r="B195" s="110">
        <v>3.47</v>
      </c>
      <c r="C195" s="143" t="s">
        <v>262</v>
      </c>
    </row>
    <row r="197" spans="1:6" x14ac:dyDescent="0.3">
      <c r="A197" s="276" t="s">
        <v>263</v>
      </c>
      <c r="B197" s="276"/>
      <c r="C197" s="276"/>
      <c r="D197" s="127"/>
    </row>
    <row r="198" spans="1:6" x14ac:dyDescent="0.3">
      <c r="A198" s="110" t="s">
        <v>264</v>
      </c>
      <c r="B198" s="110">
        <v>0.02</v>
      </c>
      <c r="C198" s="143" t="s">
        <v>190</v>
      </c>
    </row>
    <row r="199" spans="1:6" x14ac:dyDescent="0.3">
      <c r="C199" s="143"/>
    </row>
    <row r="200" spans="1:6" x14ac:dyDescent="0.3">
      <c r="A200" s="276" t="s">
        <v>265</v>
      </c>
      <c r="B200" s="276"/>
      <c r="C200" s="276"/>
      <c r="D200" s="127" t="s">
        <v>266</v>
      </c>
    </row>
    <row r="201" spans="1:6" x14ac:dyDescent="0.3">
      <c r="A201" s="141" t="s">
        <v>267</v>
      </c>
      <c r="B201" s="141">
        <v>520</v>
      </c>
      <c r="C201" s="141"/>
    </row>
    <row r="202" spans="1:6" x14ac:dyDescent="0.3">
      <c r="A202" s="141" t="s">
        <v>268</v>
      </c>
      <c r="B202" s="141">
        <v>6.08</v>
      </c>
      <c r="C202" s="141" t="s">
        <v>269</v>
      </c>
    </row>
    <row r="203" spans="1:6" x14ac:dyDescent="0.3">
      <c r="A203" s="141" t="s">
        <v>270</v>
      </c>
      <c r="B203" s="141">
        <f>B202/B201</f>
        <v>1.1692307692307693E-2</v>
      </c>
      <c r="C203" s="141" t="s">
        <v>269</v>
      </c>
    </row>
    <row r="204" spans="1:6" x14ac:dyDescent="0.3">
      <c r="A204" s="141" t="s">
        <v>270</v>
      </c>
      <c r="B204" s="141">
        <f>B203*B11</f>
        <v>2.5777095384615385E-2</v>
      </c>
      <c r="C204" s="141" t="s">
        <v>271</v>
      </c>
    </row>
    <row r="207" spans="1:6" x14ac:dyDescent="0.3">
      <c r="A207" s="275" t="s">
        <v>272</v>
      </c>
      <c r="B207" s="275" t="s">
        <v>273</v>
      </c>
      <c r="C207" s="275"/>
      <c r="D207" s="275" t="s">
        <v>274</v>
      </c>
      <c r="F207" s="127" t="s">
        <v>275</v>
      </c>
    </row>
    <row r="208" spans="1:6" x14ac:dyDescent="0.3">
      <c r="A208" s="128" t="s">
        <v>276</v>
      </c>
      <c r="B208" s="128">
        <v>155</v>
      </c>
      <c r="C208" s="128" t="s">
        <v>277</v>
      </c>
      <c r="D208" s="128"/>
    </row>
    <row r="209" spans="1:7" x14ac:dyDescent="0.3">
      <c r="A209" s="128" t="s">
        <v>278</v>
      </c>
      <c r="B209" s="128">
        <v>143</v>
      </c>
      <c r="C209" s="128" t="s">
        <v>277</v>
      </c>
      <c r="D209" s="170">
        <f>(B208-B209)/B208</f>
        <v>7.7419354838709681E-2</v>
      </c>
    </row>
    <row r="210" spans="1:7" x14ac:dyDescent="0.3">
      <c r="A210" s="258"/>
      <c r="B210" s="275" t="s">
        <v>279</v>
      </c>
      <c r="C210" s="258"/>
      <c r="D210" s="258"/>
    </row>
    <row r="211" spans="1:7" x14ac:dyDescent="0.3">
      <c r="A211" s="118" t="s">
        <v>276</v>
      </c>
      <c r="B211" s="118">
        <v>35</v>
      </c>
      <c r="C211" s="118" t="s">
        <v>277</v>
      </c>
      <c r="D211" s="118"/>
    </row>
    <row r="212" spans="1:7" x14ac:dyDescent="0.3">
      <c r="A212" s="118" t="s">
        <v>278</v>
      </c>
      <c r="B212" s="118">
        <v>22.8</v>
      </c>
      <c r="C212" s="118" t="s">
        <v>277</v>
      </c>
      <c r="D212" s="171">
        <f>(B211-B212)/B211</f>
        <v>0.34857142857142853</v>
      </c>
    </row>
    <row r="214" spans="1:7" x14ac:dyDescent="0.3">
      <c r="A214" s="118"/>
      <c r="B214" s="118"/>
      <c r="C214" s="172" t="s">
        <v>280</v>
      </c>
    </row>
    <row r="215" spans="1:7" x14ac:dyDescent="0.3">
      <c r="A215" s="118" t="s">
        <v>281</v>
      </c>
      <c r="B215" s="172" t="s">
        <v>282</v>
      </c>
      <c r="C215" s="173">
        <v>0.25</v>
      </c>
      <c r="F215" s="127" t="s">
        <v>275</v>
      </c>
    </row>
    <row r="218" spans="1:7" x14ac:dyDescent="0.3">
      <c r="A218" s="118" t="s">
        <v>283</v>
      </c>
      <c r="B218" s="118">
        <v>40</v>
      </c>
      <c r="C218" s="127" t="s">
        <v>284</v>
      </c>
      <c r="F218" s="110">
        <f>10*5</f>
        <v>50</v>
      </c>
    </row>
    <row r="220" spans="1:7" x14ac:dyDescent="0.3">
      <c r="A220" s="253" t="s">
        <v>285</v>
      </c>
      <c r="B220" s="253"/>
      <c r="C220" s="174"/>
      <c r="D220" s="174"/>
      <c r="E220" s="174"/>
      <c r="F220" s="174"/>
      <c r="G220" s="174"/>
    </row>
    <row r="223" spans="1:7" x14ac:dyDescent="0.3">
      <c r="A223" s="141" t="s">
        <v>286</v>
      </c>
      <c r="B223" s="141">
        <v>4</v>
      </c>
      <c r="C223" s="127" t="s">
        <v>287</v>
      </c>
    </row>
    <row r="224" spans="1:7" x14ac:dyDescent="0.3">
      <c r="A224" s="141" t="s">
        <v>288</v>
      </c>
      <c r="B224" s="141">
        <v>1.6</v>
      </c>
      <c r="C224" s="127" t="s">
        <v>289</v>
      </c>
    </row>
    <row r="226" spans="1:4" x14ac:dyDescent="0.3">
      <c r="A226" s="141" t="s">
        <v>290</v>
      </c>
      <c r="B226" s="141">
        <v>0.4</v>
      </c>
      <c r="C226" s="141" t="s">
        <v>291</v>
      </c>
      <c r="D226" s="127" t="s">
        <v>292</v>
      </c>
    </row>
    <row r="227" spans="1:4" x14ac:dyDescent="0.3">
      <c r="A227" s="141" t="s">
        <v>293</v>
      </c>
      <c r="B227" s="141">
        <v>0.2</v>
      </c>
      <c r="C227" s="141" t="s">
        <v>65</v>
      </c>
      <c r="D227" s="127" t="s">
        <v>289</v>
      </c>
    </row>
    <row r="229" spans="1:4" x14ac:dyDescent="0.3">
      <c r="A229" s="175"/>
    </row>
    <row r="230" spans="1:4" x14ac:dyDescent="0.3">
      <c r="A230" s="141" t="s">
        <v>294</v>
      </c>
      <c r="B230" s="176">
        <v>0.35</v>
      </c>
      <c r="C230" s="127" t="s">
        <v>295</v>
      </c>
    </row>
    <row r="232" spans="1:4" x14ac:dyDescent="0.3">
      <c r="A232" s="141" t="s">
        <v>296</v>
      </c>
      <c r="B232" s="141">
        <v>7</v>
      </c>
    </row>
    <row r="235" spans="1:4" x14ac:dyDescent="0.3">
      <c r="A235" s="141" t="s">
        <v>297</v>
      </c>
      <c r="B235" s="141">
        <v>11.8</v>
      </c>
      <c r="C235" s="127" t="s">
        <v>298</v>
      </c>
    </row>
    <row r="236" spans="1:4" ht="13.95" customHeight="1" x14ac:dyDescent="0.3">
      <c r="A236" s="141" t="s">
        <v>299</v>
      </c>
      <c r="B236" s="141">
        <f>B235/B23</f>
        <v>1.5774305556650995E-2</v>
      </c>
    </row>
    <row r="239" spans="1:4" x14ac:dyDescent="0.3">
      <c r="A239" s="141" t="s">
        <v>300</v>
      </c>
      <c r="B239" s="141">
        <v>0.28000000000000003</v>
      </c>
      <c r="C239" s="127" t="s">
        <v>301</v>
      </c>
    </row>
    <row r="240" spans="1:4" x14ac:dyDescent="0.3">
      <c r="A240" s="141" t="s">
        <v>302</v>
      </c>
      <c r="B240" s="177">
        <v>0.15</v>
      </c>
      <c r="C240" s="127" t="s">
        <v>303</v>
      </c>
    </row>
    <row r="243" spans="1:3" x14ac:dyDescent="0.3">
      <c r="A243" s="118" t="s">
        <v>304</v>
      </c>
      <c r="B243" s="118">
        <v>8</v>
      </c>
      <c r="C243" s="127" t="s">
        <v>305</v>
      </c>
    </row>
    <row r="244" spans="1:3" x14ac:dyDescent="0.3">
      <c r="A244" s="118" t="s">
        <v>306</v>
      </c>
      <c r="B244" s="171">
        <v>0.3</v>
      </c>
      <c r="C244" s="127" t="s">
        <v>307</v>
      </c>
    </row>
    <row r="245" spans="1:3" x14ac:dyDescent="0.3">
      <c r="A245" s="118" t="s">
        <v>308</v>
      </c>
      <c r="B245" s="118">
        <v>1</v>
      </c>
      <c r="C245" s="127" t="s">
        <v>309</v>
      </c>
    </row>
    <row r="246" spans="1:3" x14ac:dyDescent="0.3">
      <c r="A246" s="118" t="s">
        <v>310</v>
      </c>
      <c r="B246" s="171">
        <v>0.98</v>
      </c>
      <c r="C246" s="127" t="s">
        <v>311</v>
      </c>
    </row>
    <row r="248" spans="1:3" x14ac:dyDescent="0.3">
      <c r="A248" s="118" t="s">
        <v>312</v>
      </c>
      <c r="B248" s="178">
        <v>50</v>
      </c>
      <c r="C248" s="127" t="s">
        <v>313</v>
      </c>
    </row>
    <row r="249" spans="1:3" x14ac:dyDescent="0.3">
      <c r="A249" s="118" t="s">
        <v>314</v>
      </c>
      <c r="B249" s="118">
        <f>B248/5*B245</f>
        <v>10</v>
      </c>
    </row>
    <row r="252" spans="1:3" x14ac:dyDescent="0.3">
      <c r="A252" s="118" t="s">
        <v>315</v>
      </c>
      <c r="B252" s="118">
        <v>25</v>
      </c>
      <c r="C252" s="127" t="s">
        <v>316</v>
      </c>
    </row>
    <row r="254" spans="1:3" x14ac:dyDescent="0.3">
      <c r="A254" s="118" t="s">
        <v>317</v>
      </c>
      <c r="B254" s="118">
        <v>4</v>
      </c>
      <c r="C254" s="143" t="s">
        <v>318</v>
      </c>
    </row>
    <row r="255" spans="1:3" x14ac:dyDescent="0.3">
      <c r="A255" s="118" t="s">
        <v>319</v>
      </c>
      <c r="B255" s="118">
        <v>1</v>
      </c>
      <c r="C255" s="143" t="s">
        <v>320</v>
      </c>
    </row>
    <row r="256" spans="1:3" x14ac:dyDescent="0.3">
      <c r="A256" s="118" t="s">
        <v>513</v>
      </c>
      <c r="B256" s="118">
        <v>52</v>
      </c>
      <c r="C256" s="143"/>
    </row>
    <row r="257" spans="1:8" x14ac:dyDescent="0.3">
      <c r="A257" s="118" t="s">
        <v>514</v>
      </c>
      <c r="B257" s="118">
        <f>B256/4</f>
        <v>13</v>
      </c>
      <c r="C257" s="179"/>
    </row>
    <row r="258" spans="1:8" x14ac:dyDescent="0.3">
      <c r="A258" s="140" t="s">
        <v>512</v>
      </c>
      <c r="B258" s="140">
        <f>B256-B257</f>
        <v>39</v>
      </c>
      <c r="C258" s="179"/>
    </row>
    <row r="259" spans="1:8" x14ac:dyDescent="0.3">
      <c r="A259" s="134" t="s">
        <v>569</v>
      </c>
      <c r="B259" s="134">
        <v>41500</v>
      </c>
      <c r="C259" s="179"/>
    </row>
    <row r="260" spans="1:8" x14ac:dyDescent="0.3">
      <c r="A260" s="165" t="s">
        <v>321</v>
      </c>
      <c r="B260" s="165">
        <v>0.06</v>
      </c>
      <c r="C260" s="143" t="s">
        <v>322</v>
      </c>
    </row>
    <row r="261" spans="1:8" x14ac:dyDescent="0.3">
      <c r="C261" s="179"/>
    </row>
    <row r="263" spans="1:8" x14ac:dyDescent="0.3">
      <c r="A263" s="253" t="s">
        <v>323</v>
      </c>
      <c r="B263" s="253"/>
      <c r="C263" s="253"/>
      <c r="D263" s="253"/>
      <c r="E263" s="253"/>
      <c r="F263" s="253"/>
      <c r="G263" s="253"/>
    </row>
    <row r="264" spans="1:8" x14ac:dyDescent="0.3">
      <c r="A264" s="118" t="s">
        <v>324</v>
      </c>
      <c r="B264" s="171">
        <v>7.0000000000000007E-2</v>
      </c>
      <c r="C264" s="127" t="s">
        <v>325</v>
      </c>
      <c r="D264" s="110" t="s">
        <v>326</v>
      </c>
      <c r="H264" s="180" t="s">
        <v>327</v>
      </c>
    </row>
    <row r="265" spans="1:8" x14ac:dyDescent="0.3">
      <c r="A265" s="118" t="s">
        <v>328</v>
      </c>
      <c r="B265" s="130">
        <v>7.29</v>
      </c>
      <c r="C265" s="127" t="s">
        <v>329</v>
      </c>
    </row>
    <row r="266" spans="1:8" x14ac:dyDescent="0.3">
      <c r="A266" s="118" t="s">
        <v>330</v>
      </c>
      <c r="B266" s="130">
        <f>B265/100</f>
        <v>7.2900000000000006E-2</v>
      </c>
      <c r="C266" s="127"/>
    </row>
    <row r="267" spans="1:8" x14ac:dyDescent="0.3">
      <c r="A267" s="118" t="s">
        <v>331</v>
      </c>
      <c r="B267" s="130">
        <v>2.79</v>
      </c>
      <c r="C267" s="127" t="s">
        <v>332</v>
      </c>
    </row>
    <row r="268" spans="1:8" x14ac:dyDescent="0.3">
      <c r="A268" s="118" t="s">
        <v>333</v>
      </c>
      <c r="B268" s="130">
        <f>B267/128</f>
        <v>2.1796875E-2</v>
      </c>
      <c r="C268" s="127"/>
    </row>
    <row r="270" spans="1:8" x14ac:dyDescent="0.3">
      <c r="C270" s="127"/>
    </row>
    <row r="271" spans="1:8" x14ac:dyDescent="0.3">
      <c r="A271" s="118" t="s">
        <v>334</v>
      </c>
      <c r="B271" s="118">
        <v>8</v>
      </c>
    </row>
    <row r="272" spans="1:8" x14ac:dyDescent="0.3">
      <c r="A272" s="118" t="s">
        <v>335</v>
      </c>
      <c r="B272" s="118">
        <v>0</v>
      </c>
    </row>
    <row r="273" spans="1:4" x14ac:dyDescent="0.3">
      <c r="A273" s="118" t="s">
        <v>336</v>
      </c>
      <c r="B273" s="118">
        <v>2401.39734</v>
      </c>
      <c r="C273" s="127" t="s">
        <v>337</v>
      </c>
    </row>
    <row r="274" spans="1:4" x14ac:dyDescent="0.3">
      <c r="A274" s="118" t="s">
        <v>338</v>
      </c>
      <c r="B274" s="118">
        <v>2.39862941E-2</v>
      </c>
      <c r="C274" s="127"/>
    </row>
    <row r="275" spans="1:4" x14ac:dyDescent="0.3">
      <c r="A275" s="118" t="s">
        <v>339</v>
      </c>
      <c r="B275" s="172">
        <f>B274/B273</f>
        <v>9.9884736692512539E-6</v>
      </c>
      <c r="C275" s="127"/>
    </row>
    <row r="276" spans="1:4" x14ac:dyDescent="0.3">
      <c r="A276" s="118" t="s">
        <v>340</v>
      </c>
      <c r="B276" s="118">
        <f>B275*B272</f>
        <v>0</v>
      </c>
    </row>
    <row r="278" spans="1:4" x14ac:dyDescent="0.3">
      <c r="A278" s="130" t="s">
        <v>341</v>
      </c>
      <c r="B278" s="130">
        <v>0.7</v>
      </c>
      <c r="C278" s="127" t="s">
        <v>342</v>
      </c>
    </row>
    <row r="279" spans="1:4" x14ac:dyDescent="0.3">
      <c r="A279" s="130" t="s">
        <v>343</v>
      </c>
      <c r="B279" s="130">
        <v>25.29</v>
      </c>
      <c r="C279" s="127" t="s">
        <v>344</v>
      </c>
    </row>
    <row r="280" spans="1:4" x14ac:dyDescent="0.3">
      <c r="A280" s="130" t="s">
        <v>345</v>
      </c>
      <c r="B280" s="130">
        <f>(A285+(B279*B285*B284)+(B279*C285*C284))*B11</f>
        <v>19.439560254526274</v>
      </c>
    </row>
    <row r="281" spans="1:4" x14ac:dyDescent="0.3">
      <c r="A281" s="126"/>
      <c r="B281" s="126"/>
    </row>
    <row r="282" spans="1:4" x14ac:dyDescent="0.3">
      <c r="A282" s="275" t="s">
        <v>346</v>
      </c>
      <c r="B282" s="275"/>
      <c r="C282" s="275"/>
      <c r="D282" s="127" t="s">
        <v>347</v>
      </c>
    </row>
    <row r="283" spans="1:4" x14ac:dyDescent="0.3">
      <c r="A283" s="275" t="s">
        <v>348</v>
      </c>
      <c r="B283" s="275" t="s">
        <v>349</v>
      </c>
      <c r="C283" s="275" t="s">
        <v>350</v>
      </c>
    </row>
    <row r="284" spans="1:4" x14ac:dyDescent="0.3">
      <c r="A284" s="130">
        <v>1</v>
      </c>
      <c r="B284" s="130">
        <v>265</v>
      </c>
      <c r="C284" s="130">
        <v>28</v>
      </c>
    </row>
    <row r="285" spans="1:4" x14ac:dyDescent="0.3">
      <c r="A285" s="130">
        <v>8.7799999999999994</v>
      </c>
      <c r="B285" s="130">
        <f>0.0038/1000</f>
        <v>3.8E-6</v>
      </c>
      <c r="C285" s="130">
        <f>0.0172/1000</f>
        <v>1.7200000000000001E-5</v>
      </c>
    </row>
    <row r="288" spans="1:4" x14ac:dyDescent="0.3">
      <c r="A288" s="141" t="s">
        <v>351</v>
      </c>
      <c r="B288" s="142">
        <f>B280*B278</f>
        <v>13.60769217816839</v>
      </c>
    </row>
    <row r="289" spans="1:4" x14ac:dyDescent="0.3">
      <c r="A289" s="141" t="s">
        <v>352</v>
      </c>
      <c r="B289" s="142">
        <v>3.2839999999999998</v>
      </c>
      <c r="C289" s="127" t="s">
        <v>353</v>
      </c>
    </row>
    <row r="291" spans="1:4" x14ac:dyDescent="0.3">
      <c r="A291" s="141" t="s">
        <v>354</v>
      </c>
      <c r="B291" s="142">
        <v>15</v>
      </c>
    </row>
    <row r="294" spans="1:4" x14ac:dyDescent="0.3">
      <c r="A294" s="141" t="s">
        <v>355</v>
      </c>
      <c r="B294" s="181">
        <v>330000</v>
      </c>
      <c r="C294" s="127" t="s">
        <v>356</v>
      </c>
      <c r="D294" s="141" t="s">
        <v>357</v>
      </c>
    </row>
    <row r="295" spans="1:4" x14ac:dyDescent="0.3">
      <c r="A295" s="141" t="s">
        <v>358</v>
      </c>
      <c r="B295" s="181">
        <f>B294/3</f>
        <v>110000</v>
      </c>
      <c r="D295" s="141"/>
    </row>
    <row r="296" spans="1:4" x14ac:dyDescent="0.3">
      <c r="A296" s="141" t="s">
        <v>359</v>
      </c>
      <c r="B296" s="181">
        <v>226</v>
      </c>
      <c r="D296" s="141"/>
    </row>
    <row r="297" spans="1:4" x14ac:dyDescent="0.3">
      <c r="A297" s="141" t="s">
        <v>360</v>
      </c>
      <c r="B297" s="142">
        <f>B295/B296</f>
        <v>486.72566371681415</v>
      </c>
      <c r="D297" s="141"/>
    </row>
    <row r="298" spans="1:4" x14ac:dyDescent="0.3">
      <c r="A298" s="141" t="s">
        <v>361</v>
      </c>
      <c r="B298" s="141">
        <v>134000</v>
      </c>
      <c r="C298" s="127" t="s">
        <v>362</v>
      </c>
      <c r="D298" s="141"/>
    </row>
    <row r="299" spans="1:4" x14ac:dyDescent="0.3">
      <c r="A299" s="141" t="s">
        <v>363</v>
      </c>
      <c r="B299" s="141">
        <f>ROUND(B298/B296,0)</f>
        <v>593</v>
      </c>
      <c r="C299" s="127"/>
      <c r="D299" s="141"/>
    </row>
    <row r="300" spans="1:4" x14ac:dyDescent="0.3">
      <c r="D300" s="141"/>
    </row>
    <row r="301" spans="1:4" x14ac:dyDescent="0.3">
      <c r="A301" s="141" t="s">
        <v>364</v>
      </c>
      <c r="B301" s="141">
        <v>67</v>
      </c>
      <c r="C301" s="127" t="s">
        <v>356</v>
      </c>
      <c r="D301" s="141" t="s">
        <v>357</v>
      </c>
    </row>
    <row r="302" spans="1:4" x14ac:dyDescent="0.3">
      <c r="D302" s="141"/>
    </row>
    <row r="303" spans="1:4" x14ac:dyDescent="0.3">
      <c r="D303" s="141"/>
    </row>
    <row r="304" spans="1:4" x14ac:dyDescent="0.3">
      <c r="A304" s="141" t="s">
        <v>365</v>
      </c>
      <c r="B304" s="141">
        <v>40.020000000000003</v>
      </c>
      <c r="C304" s="127" t="s">
        <v>366</v>
      </c>
    </row>
    <row r="305" spans="1:3" x14ac:dyDescent="0.3">
      <c r="A305" s="141" t="s">
        <v>367</v>
      </c>
      <c r="B305" s="142">
        <f>B304</f>
        <v>40.020000000000003</v>
      </c>
    </row>
    <row r="306" spans="1:3" x14ac:dyDescent="0.3">
      <c r="A306" s="141" t="s">
        <v>368</v>
      </c>
      <c r="B306" s="141">
        <v>0.8</v>
      </c>
      <c r="C306" s="127" t="s">
        <v>366</v>
      </c>
    </row>
    <row r="307" spans="1:3" x14ac:dyDescent="0.3">
      <c r="A307" s="141" t="s">
        <v>369</v>
      </c>
      <c r="B307" s="141">
        <v>0.8</v>
      </c>
      <c r="C307" s="182"/>
    </row>
    <row r="309" spans="1:3" x14ac:dyDescent="0.3">
      <c r="A309" s="141" t="s">
        <v>370</v>
      </c>
      <c r="B309" s="141">
        <v>8</v>
      </c>
      <c r="C309" s="127" t="s">
        <v>371</v>
      </c>
    </row>
    <row r="310" spans="1:3" x14ac:dyDescent="0.3">
      <c r="A310" s="141" t="s">
        <v>372</v>
      </c>
      <c r="B310" s="141">
        <f>B309/5</f>
        <v>1.6</v>
      </c>
    </row>
    <row r="311" spans="1:3" x14ac:dyDescent="0.3">
      <c r="A311" s="183" t="s">
        <v>373</v>
      </c>
      <c r="B311" s="183">
        <f>B310/B12</f>
        <v>0.1</v>
      </c>
    </row>
    <row r="312" spans="1:3" x14ac:dyDescent="0.3">
      <c r="A312" s="118" t="s">
        <v>374</v>
      </c>
      <c r="B312" s="118">
        <f>0.4</f>
        <v>0.4</v>
      </c>
    </row>
    <row r="314" spans="1:3" x14ac:dyDescent="0.3">
      <c r="A314" s="141" t="s">
        <v>375</v>
      </c>
      <c r="B314" s="141">
        <v>3.8119999999999998</v>
      </c>
      <c r="C314" s="127" t="s">
        <v>376</v>
      </c>
    </row>
    <row r="315" spans="1:3" x14ac:dyDescent="0.3">
      <c r="A315" s="141" t="s">
        <v>377</v>
      </c>
      <c r="B315" s="141">
        <v>1.3160000000000001</v>
      </c>
      <c r="C315" s="127" t="s">
        <v>376</v>
      </c>
    </row>
    <row r="325" spans="1:7" x14ac:dyDescent="0.3">
      <c r="A325" s="253" t="s">
        <v>378</v>
      </c>
      <c r="B325" s="253"/>
      <c r="C325" s="253"/>
      <c r="D325" s="253"/>
      <c r="E325" s="253"/>
      <c r="F325" s="253"/>
      <c r="G325" s="253"/>
    </row>
    <row r="328" spans="1:7" x14ac:dyDescent="0.3">
      <c r="A328" s="141" t="s">
        <v>379</v>
      </c>
      <c r="B328" s="142">
        <v>30000</v>
      </c>
      <c r="C328" s="110" t="s">
        <v>380</v>
      </c>
      <c r="D328" s="127" t="s">
        <v>381</v>
      </c>
    </row>
    <row r="329" spans="1:7" x14ac:dyDescent="0.3">
      <c r="A329" s="141" t="s">
        <v>382</v>
      </c>
      <c r="B329" s="142">
        <f>B328/120</f>
        <v>250</v>
      </c>
    </row>
    <row r="330" spans="1:7" x14ac:dyDescent="0.3">
      <c r="A330" s="141" t="s">
        <v>383</v>
      </c>
      <c r="B330" s="142">
        <v>30000</v>
      </c>
      <c r="C330" s="127" t="s">
        <v>381</v>
      </c>
      <c r="D330" s="127" t="s">
        <v>384</v>
      </c>
    </row>
    <row r="331" spans="1:7" x14ac:dyDescent="0.3">
      <c r="A331" s="141" t="s">
        <v>385</v>
      </c>
      <c r="B331" s="142">
        <f>B330/60</f>
        <v>500</v>
      </c>
    </row>
    <row r="334" spans="1:7" x14ac:dyDescent="0.3">
      <c r="A334" s="141" t="s">
        <v>386</v>
      </c>
      <c r="B334" s="184">
        <v>0.9</v>
      </c>
      <c r="C334" s="127" t="s">
        <v>387</v>
      </c>
    </row>
    <row r="335" spans="1:7" x14ac:dyDescent="0.3">
      <c r="A335" s="141" t="s">
        <v>388</v>
      </c>
      <c r="B335" s="184">
        <v>0.9</v>
      </c>
      <c r="C335" s="127" t="s">
        <v>387</v>
      </c>
    </row>
    <row r="336" spans="1:7" x14ac:dyDescent="0.3">
      <c r="A336" s="141" t="s">
        <v>389</v>
      </c>
      <c r="B336" s="184">
        <v>0.9</v>
      </c>
      <c r="C336" s="127" t="s">
        <v>387</v>
      </c>
    </row>
    <row r="337" spans="1:3" x14ac:dyDescent="0.3">
      <c r="A337" s="141" t="s">
        <v>390</v>
      </c>
      <c r="B337" s="184">
        <v>0.5</v>
      </c>
      <c r="C337" s="127" t="s">
        <v>387</v>
      </c>
    </row>
    <row r="338" spans="1:3" x14ac:dyDescent="0.3">
      <c r="A338" s="141" t="s">
        <v>391</v>
      </c>
      <c r="B338" s="184">
        <v>0.65</v>
      </c>
      <c r="C338" s="127" t="s">
        <v>387</v>
      </c>
    </row>
    <row r="341" spans="1:3" x14ac:dyDescent="0.3">
      <c r="A341" s="141" t="s">
        <v>392</v>
      </c>
      <c r="B341" s="142">
        <v>1.5</v>
      </c>
      <c r="C341" s="127" t="s">
        <v>393</v>
      </c>
    </row>
    <row r="342" spans="1:3" x14ac:dyDescent="0.3">
      <c r="A342" s="183" t="s">
        <v>394</v>
      </c>
      <c r="B342" s="185">
        <v>2.2000000000000002</v>
      </c>
      <c r="C342" s="127" t="s">
        <v>393</v>
      </c>
    </row>
    <row r="343" spans="1:3" x14ac:dyDescent="0.3">
      <c r="A343" s="118" t="s">
        <v>578</v>
      </c>
      <c r="B343" s="130">
        <f>B342/60</f>
        <v>3.6666666666666667E-2</v>
      </c>
      <c r="C343" s="127"/>
    </row>
    <row r="344" spans="1:3" x14ac:dyDescent="0.3">
      <c r="A344" s="118" t="s">
        <v>577</v>
      </c>
      <c r="B344" s="130">
        <f>20/B342</f>
        <v>9.0909090909090899</v>
      </c>
      <c r="C344" s="127" t="s">
        <v>576</v>
      </c>
    </row>
    <row r="345" spans="1:3" x14ac:dyDescent="0.3">
      <c r="A345" s="186" t="s">
        <v>580</v>
      </c>
      <c r="B345" s="187">
        <v>240</v>
      </c>
      <c r="C345" s="127"/>
    </row>
    <row r="346" spans="1:3" x14ac:dyDescent="0.3">
      <c r="A346" s="186" t="s">
        <v>581</v>
      </c>
      <c r="B346" s="187">
        <v>180</v>
      </c>
      <c r="C346" s="127"/>
    </row>
    <row r="347" spans="1:3" x14ac:dyDescent="0.3">
      <c r="A347" s="186" t="s">
        <v>582</v>
      </c>
      <c r="B347" s="187">
        <v>540</v>
      </c>
      <c r="C347" s="127"/>
    </row>
    <row r="349" spans="1:3" x14ac:dyDescent="0.3">
      <c r="A349" s="118" t="s">
        <v>395</v>
      </c>
      <c r="B349" s="130">
        <f>1/3</f>
        <v>0.33333333333333331</v>
      </c>
    </row>
    <row r="350" spans="1:3" ht="28.8" x14ac:dyDescent="0.3">
      <c r="A350" s="133" t="s">
        <v>396</v>
      </c>
      <c r="B350" s="118">
        <v>3</v>
      </c>
      <c r="C350" s="127" t="s">
        <v>397</v>
      </c>
    </row>
    <row r="353" spans="1:4" x14ac:dyDescent="0.3">
      <c r="A353" s="141" t="s">
        <v>398</v>
      </c>
      <c r="B353" s="142">
        <v>600</v>
      </c>
      <c r="D353" s="127" t="s">
        <v>399</v>
      </c>
    </row>
    <row r="354" spans="1:4" x14ac:dyDescent="0.3">
      <c r="A354" s="141" t="s">
        <v>400</v>
      </c>
      <c r="B354" s="142">
        <v>3000</v>
      </c>
      <c r="C354" s="110" t="s">
        <v>401</v>
      </c>
      <c r="D354" s="127" t="s">
        <v>402</v>
      </c>
    </row>
    <row r="355" spans="1:4" x14ac:dyDescent="0.3">
      <c r="A355" s="141" t="s">
        <v>403</v>
      </c>
      <c r="B355" s="142">
        <v>500</v>
      </c>
      <c r="C355" s="110" t="s">
        <v>404</v>
      </c>
      <c r="D355" s="127" t="s">
        <v>402</v>
      </c>
    </row>
    <row r="356" spans="1:4" x14ac:dyDescent="0.3">
      <c r="A356" s="141" t="s">
        <v>405</v>
      </c>
      <c r="B356" s="142">
        <v>6300</v>
      </c>
      <c r="C356" s="110" t="s">
        <v>406</v>
      </c>
      <c r="D356" s="127" t="s">
        <v>407</v>
      </c>
    </row>
    <row r="358" spans="1:4" x14ac:dyDescent="0.3">
      <c r="A358" s="141" t="s">
        <v>408</v>
      </c>
      <c r="B358" s="142">
        <f>B353/30</f>
        <v>20</v>
      </c>
    </row>
    <row r="359" spans="1:4" x14ac:dyDescent="0.3">
      <c r="A359" s="141" t="s">
        <v>409</v>
      </c>
      <c r="B359" s="142">
        <f>B354/365</f>
        <v>8.2191780821917817</v>
      </c>
    </row>
    <row r="360" spans="1:4" x14ac:dyDescent="0.3">
      <c r="A360" s="141" t="s">
        <v>410</v>
      </c>
      <c r="B360" s="142">
        <f>B355/365</f>
        <v>1.3698630136986301</v>
      </c>
    </row>
    <row r="361" spans="1:4" x14ac:dyDescent="0.3">
      <c r="A361" s="141" t="s">
        <v>411</v>
      </c>
      <c r="B361" s="142">
        <f>B356/30</f>
        <v>210</v>
      </c>
    </row>
    <row r="364" spans="1:4" x14ac:dyDescent="0.3">
      <c r="A364" s="141" t="s">
        <v>412</v>
      </c>
      <c r="B364" s="142">
        <v>0.5</v>
      </c>
      <c r="C364" s="127" t="s">
        <v>397</v>
      </c>
    </row>
    <row r="365" spans="1:4" x14ac:dyDescent="0.3">
      <c r="A365" s="141" t="s">
        <v>413</v>
      </c>
      <c r="B365" s="142">
        <v>0.8</v>
      </c>
      <c r="C365" s="127" t="s">
        <v>397</v>
      </c>
    </row>
    <row r="367" spans="1:4" x14ac:dyDescent="0.3">
      <c r="A367" s="141" t="s">
        <v>414</v>
      </c>
      <c r="B367" s="141">
        <v>3</v>
      </c>
      <c r="C367" s="127" t="s">
        <v>397</v>
      </c>
    </row>
    <row r="369" spans="1:4" x14ac:dyDescent="0.3">
      <c r="A369" s="118" t="s">
        <v>415</v>
      </c>
      <c r="B369" s="118">
        <v>10</v>
      </c>
      <c r="C369" s="143" t="s">
        <v>416</v>
      </c>
    </row>
    <row r="370" spans="1:4" x14ac:dyDescent="0.3">
      <c r="A370" s="118" t="s">
        <v>417</v>
      </c>
      <c r="B370" s="118">
        <v>8</v>
      </c>
      <c r="C370" s="143"/>
    </row>
    <row r="371" spans="1:4" x14ac:dyDescent="0.3">
      <c r="C371" s="127" t="s">
        <v>418</v>
      </c>
    </row>
    <row r="372" spans="1:4" x14ac:dyDescent="0.3">
      <c r="A372" s="275" t="s">
        <v>419</v>
      </c>
      <c r="B372" s="275" t="s">
        <v>420</v>
      </c>
      <c r="C372" s="275" t="s">
        <v>421</v>
      </c>
      <c r="D372" s="275" t="s">
        <v>422</v>
      </c>
    </row>
    <row r="373" spans="1:4" x14ac:dyDescent="0.3">
      <c r="A373" s="279" t="s">
        <v>115</v>
      </c>
      <c r="B373" s="279"/>
      <c r="C373" s="279"/>
      <c r="D373" s="279"/>
    </row>
    <row r="374" spans="1:4" x14ac:dyDescent="0.3">
      <c r="A374" s="141" t="s">
        <v>423</v>
      </c>
      <c r="B374" s="141">
        <v>192</v>
      </c>
      <c r="C374" s="141">
        <v>84.5</v>
      </c>
      <c r="D374" s="142">
        <f>C374/B374</f>
        <v>0.44010416666666669</v>
      </c>
    </row>
    <row r="375" spans="1:4" x14ac:dyDescent="0.3">
      <c r="A375" s="141" t="s">
        <v>424</v>
      </c>
      <c r="B375" s="141">
        <v>148</v>
      </c>
      <c r="C375" s="141">
        <v>27.8</v>
      </c>
      <c r="D375" s="142">
        <f t="shared" ref="D375:D410" si="1">C375/B375</f>
        <v>0.18783783783783783</v>
      </c>
    </row>
    <row r="376" spans="1:4" x14ac:dyDescent="0.3">
      <c r="A376" s="141" t="s">
        <v>425</v>
      </c>
      <c r="B376" s="141">
        <v>187</v>
      </c>
      <c r="C376" s="141">
        <v>97.9</v>
      </c>
      <c r="D376" s="142">
        <f t="shared" si="1"/>
        <v>0.52352941176470591</v>
      </c>
    </row>
    <row r="377" spans="1:4" x14ac:dyDescent="0.3">
      <c r="A377" s="141" t="s">
        <v>426</v>
      </c>
      <c r="B377" s="141">
        <v>186</v>
      </c>
      <c r="C377" s="141">
        <v>106.7</v>
      </c>
      <c r="D377" s="142">
        <f t="shared" si="1"/>
        <v>0.57365591397849469</v>
      </c>
    </row>
    <row r="378" spans="1:4" x14ac:dyDescent="0.3">
      <c r="A378" s="141" t="s">
        <v>427</v>
      </c>
      <c r="B378" s="141">
        <v>163</v>
      </c>
      <c r="C378" s="141">
        <v>35.799999999999997</v>
      </c>
      <c r="D378" s="142">
        <f t="shared" si="1"/>
        <v>0.21963190184049078</v>
      </c>
    </row>
    <row r="379" spans="1:4" x14ac:dyDescent="0.3">
      <c r="A379" s="141" t="s">
        <v>428</v>
      </c>
      <c r="B379" s="141">
        <v>142</v>
      </c>
      <c r="C379" s="141">
        <v>28.1</v>
      </c>
      <c r="D379" s="142">
        <f t="shared" si="1"/>
        <v>0.19788732394366199</v>
      </c>
    </row>
    <row r="380" spans="1:4" x14ac:dyDescent="0.3">
      <c r="A380" s="141" t="s">
        <v>429</v>
      </c>
      <c r="B380" s="141">
        <v>165</v>
      </c>
      <c r="C380" s="141">
        <v>56.4</v>
      </c>
      <c r="D380" s="142">
        <f t="shared" si="1"/>
        <v>0.3418181818181818</v>
      </c>
    </row>
    <row r="381" spans="1:4" x14ac:dyDescent="0.3">
      <c r="A381" s="141" t="s">
        <v>430</v>
      </c>
      <c r="B381" s="141">
        <v>72</v>
      </c>
      <c r="C381" s="141">
        <v>11.4</v>
      </c>
      <c r="D381" s="142">
        <f t="shared" si="1"/>
        <v>0.15833333333333333</v>
      </c>
    </row>
    <row r="382" spans="1:4" x14ac:dyDescent="0.3">
      <c r="A382" s="141" t="s">
        <v>431</v>
      </c>
      <c r="B382" s="141">
        <v>198</v>
      </c>
      <c r="C382" s="141">
        <v>108.9</v>
      </c>
      <c r="D382" s="142">
        <f t="shared" si="1"/>
        <v>0.55000000000000004</v>
      </c>
    </row>
    <row r="383" spans="1:4" x14ac:dyDescent="0.3">
      <c r="A383" s="141" t="s">
        <v>432</v>
      </c>
      <c r="B383" s="141">
        <v>103</v>
      </c>
      <c r="C383" s="141">
        <v>10.8</v>
      </c>
      <c r="D383" s="142">
        <f t="shared" si="1"/>
        <v>0.10485436893203884</v>
      </c>
    </row>
    <row r="384" spans="1:4" x14ac:dyDescent="0.3">
      <c r="A384" s="141" t="s">
        <v>433</v>
      </c>
      <c r="B384" s="188">
        <f>AVERAGE(B374:B383,B385:B386,B388:B410)</f>
        <v>148.53809523809525</v>
      </c>
      <c r="C384" s="141">
        <v>81.3</v>
      </c>
      <c r="D384" s="142">
        <f t="shared" si="1"/>
        <v>0.54733433783220586</v>
      </c>
    </row>
    <row r="385" spans="1:4" x14ac:dyDescent="0.3">
      <c r="A385" s="141" t="s">
        <v>434</v>
      </c>
      <c r="B385" s="141">
        <v>166</v>
      </c>
      <c r="C385" s="141">
        <v>38.4</v>
      </c>
      <c r="D385" s="142">
        <f t="shared" si="1"/>
        <v>0.23132530120481926</v>
      </c>
    </row>
    <row r="386" spans="1:4" x14ac:dyDescent="0.3">
      <c r="A386" s="141" t="s">
        <v>435</v>
      </c>
      <c r="B386" s="141">
        <v>210</v>
      </c>
      <c r="C386" s="141">
        <v>119.7</v>
      </c>
      <c r="D386" s="142">
        <f t="shared" si="1"/>
        <v>0.57000000000000006</v>
      </c>
    </row>
    <row r="387" spans="1:4" x14ac:dyDescent="0.3">
      <c r="A387" s="141" t="s">
        <v>436</v>
      </c>
      <c r="B387" s="188">
        <f>AVERAGE(B374:B383,B385:B386,B388:B410)</f>
        <v>148.53809523809525</v>
      </c>
      <c r="C387" s="141">
        <v>24.9</v>
      </c>
      <c r="D387" s="142">
        <f t="shared" si="1"/>
        <v>0.16763376398550955</v>
      </c>
    </row>
    <row r="388" spans="1:4" x14ac:dyDescent="0.3">
      <c r="A388" s="141" t="s">
        <v>437</v>
      </c>
      <c r="B388" s="141">
        <v>198</v>
      </c>
      <c r="C388" s="141">
        <v>75</v>
      </c>
      <c r="D388" s="142">
        <f t="shared" si="1"/>
        <v>0.37878787878787878</v>
      </c>
    </row>
    <row r="389" spans="1:4" x14ac:dyDescent="0.3">
      <c r="A389" s="141" t="s">
        <v>438</v>
      </c>
      <c r="B389" s="141">
        <v>75</v>
      </c>
      <c r="C389" s="141">
        <v>7.7</v>
      </c>
      <c r="D389" s="142">
        <f t="shared" si="1"/>
        <v>0.10266666666666667</v>
      </c>
    </row>
    <row r="390" spans="1:4" x14ac:dyDescent="0.3">
      <c r="A390" s="141" t="s">
        <v>439</v>
      </c>
      <c r="B390" s="141">
        <v>97</v>
      </c>
      <c r="C390" s="141">
        <v>25</v>
      </c>
      <c r="D390" s="142">
        <f t="shared" si="1"/>
        <v>0.25773195876288657</v>
      </c>
    </row>
    <row r="391" spans="1:4" x14ac:dyDescent="0.3">
      <c r="A391" s="141" t="s">
        <v>440</v>
      </c>
      <c r="B391" s="141">
        <v>213</v>
      </c>
      <c r="C391" s="141">
        <v>78.7</v>
      </c>
      <c r="D391" s="142">
        <f t="shared" si="1"/>
        <v>0.3694835680751174</v>
      </c>
    </row>
    <row r="392" spans="1:4" x14ac:dyDescent="0.3">
      <c r="A392" s="141" t="s">
        <v>441</v>
      </c>
      <c r="B392" s="141">
        <v>186</v>
      </c>
      <c r="C392" s="141">
        <v>48</v>
      </c>
      <c r="D392" s="142">
        <f t="shared" si="1"/>
        <v>0.25806451612903225</v>
      </c>
    </row>
    <row r="393" spans="1:4" x14ac:dyDescent="0.3">
      <c r="A393" s="141" t="s">
        <v>442</v>
      </c>
      <c r="B393" s="188">
        <f>AVERAGE(B390:B391,B394:B397)</f>
        <v>160.83333333333334</v>
      </c>
      <c r="C393" s="141">
        <v>45.9</v>
      </c>
      <c r="D393" s="142">
        <f t="shared" si="1"/>
        <v>0.2853886010362694</v>
      </c>
    </row>
    <row r="394" spans="1:4" x14ac:dyDescent="0.3">
      <c r="A394" s="141" t="s">
        <v>443</v>
      </c>
      <c r="B394" s="141">
        <v>189</v>
      </c>
      <c r="C394" s="141">
        <v>118.3</v>
      </c>
      <c r="D394" s="142">
        <f t="shared" si="1"/>
        <v>0.62592592592592589</v>
      </c>
    </row>
    <row r="395" spans="1:4" x14ac:dyDescent="0.3">
      <c r="A395" s="141" t="s">
        <v>444</v>
      </c>
      <c r="B395" s="141">
        <v>184</v>
      </c>
      <c r="C395" s="141">
        <v>57.8</v>
      </c>
      <c r="D395" s="142">
        <f t="shared" si="1"/>
        <v>0.31413043478260866</v>
      </c>
    </row>
    <row r="396" spans="1:4" x14ac:dyDescent="0.3">
      <c r="A396" s="141" t="s">
        <v>445</v>
      </c>
      <c r="B396" s="141">
        <v>119</v>
      </c>
      <c r="C396" s="141">
        <v>28.2</v>
      </c>
      <c r="D396" s="142">
        <f t="shared" si="1"/>
        <v>0.23697478991596638</v>
      </c>
    </row>
    <row r="397" spans="1:4" x14ac:dyDescent="0.3">
      <c r="A397" s="141" t="s">
        <v>446</v>
      </c>
      <c r="B397" s="141">
        <v>163</v>
      </c>
      <c r="C397" s="141">
        <v>50</v>
      </c>
      <c r="D397" s="142">
        <f t="shared" si="1"/>
        <v>0.30674846625766872</v>
      </c>
    </row>
    <row r="398" spans="1:4" x14ac:dyDescent="0.3">
      <c r="A398" s="141" t="s">
        <v>447</v>
      </c>
      <c r="B398" s="141">
        <v>144</v>
      </c>
      <c r="C398" s="141">
        <v>25.3</v>
      </c>
      <c r="D398" s="142">
        <f t="shared" si="1"/>
        <v>0.17569444444444446</v>
      </c>
    </row>
    <row r="399" spans="1:4" x14ac:dyDescent="0.3">
      <c r="A399" s="141" t="s">
        <v>448</v>
      </c>
      <c r="B399" s="141">
        <v>141</v>
      </c>
      <c r="C399" s="141">
        <v>19</v>
      </c>
      <c r="D399" s="142">
        <f t="shared" si="1"/>
        <v>0.13475177304964539</v>
      </c>
    </row>
    <row r="400" spans="1:4" x14ac:dyDescent="0.3">
      <c r="A400" s="141" t="s">
        <v>449</v>
      </c>
      <c r="B400" s="141">
        <v>114</v>
      </c>
      <c r="C400" s="141">
        <v>20.399999999999999</v>
      </c>
      <c r="D400" s="142">
        <f t="shared" si="1"/>
        <v>0.17894736842105263</v>
      </c>
    </row>
    <row r="401" spans="1:4" x14ac:dyDescent="0.3">
      <c r="A401" s="141" t="s">
        <v>450</v>
      </c>
      <c r="B401" s="141">
        <v>162</v>
      </c>
      <c r="C401" s="141">
        <v>57.6</v>
      </c>
      <c r="D401" s="142">
        <f t="shared" si="1"/>
        <v>0.35555555555555557</v>
      </c>
    </row>
    <row r="402" spans="1:4" x14ac:dyDescent="0.3">
      <c r="A402" s="141" t="s">
        <v>451</v>
      </c>
      <c r="B402" s="141">
        <v>149</v>
      </c>
      <c r="C402" s="141">
        <v>37.700000000000003</v>
      </c>
      <c r="D402" s="142">
        <f t="shared" si="1"/>
        <v>0.25302013422818792</v>
      </c>
    </row>
    <row r="403" spans="1:4" x14ac:dyDescent="0.3">
      <c r="A403" s="141" t="s">
        <v>452</v>
      </c>
      <c r="B403" s="141">
        <v>112</v>
      </c>
      <c r="C403" s="141">
        <v>16.600000000000001</v>
      </c>
      <c r="D403" s="142">
        <f t="shared" si="1"/>
        <v>0.14821428571428572</v>
      </c>
    </row>
    <row r="404" spans="1:4" x14ac:dyDescent="0.3">
      <c r="A404" s="141" t="s">
        <v>453</v>
      </c>
      <c r="B404" s="141">
        <v>188</v>
      </c>
      <c r="C404" s="141">
        <v>81.2</v>
      </c>
      <c r="D404" s="142">
        <f t="shared" si="1"/>
        <v>0.43191489361702129</v>
      </c>
    </row>
    <row r="405" spans="1:4" x14ac:dyDescent="0.3">
      <c r="A405" s="141" t="s">
        <v>454</v>
      </c>
      <c r="B405" s="141">
        <v>149</v>
      </c>
      <c r="C405" s="141">
        <v>39.200000000000003</v>
      </c>
      <c r="D405" s="142">
        <f t="shared" si="1"/>
        <v>0.26308724832214769</v>
      </c>
    </row>
    <row r="406" spans="1:4" x14ac:dyDescent="0.3">
      <c r="A406" s="141" t="s">
        <v>455</v>
      </c>
      <c r="B406" s="141">
        <v>168</v>
      </c>
      <c r="C406" s="141">
        <v>41.6</v>
      </c>
      <c r="D406" s="142">
        <f t="shared" si="1"/>
        <v>0.24761904761904763</v>
      </c>
    </row>
    <row r="407" spans="1:4" x14ac:dyDescent="0.3">
      <c r="A407" s="141" t="s">
        <v>456</v>
      </c>
      <c r="B407" s="141">
        <v>109</v>
      </c>
      <c r="C407" s="141">
        <v>20.9</v>
      </c>
      <c r="D407" s="142">
        <f t="shared" si="1"/>
        <v>0.19174311926605503</v>
      </c>
    </row>
    <row r="408" spans="1:4" x14ac:dyDescent="0.3">
      <c r="A408" s="141" t="s">
        <v>457</v>
      </c>
      <c r="B408" s="141">
        <v>80</v>
      </c>
      <c r="C408" s="141">
        <v>9.6</v>
      </c>
      <c r="D408" s="142">
        <f t="shared" si="1"/>
        <v>0.12</v>
      </c>
    </row>
    <row r="409" spans="1:4" x14ac:dyDescent="0.3">
      <c r="A409" s="141" t="s">
        <v>458</v>
      </c>
      <c r="B409" s="141">
        <v>94</v>
      </c>
      <c r="C409" s="141">
        <v>14.8</v>
      </c>
      <c r="D409" s="142">
        <f t="shared" si="1"/>
        <v>0.1574468085106383</v>
      </c>
    </row>
    <row r="410" spans="1:4" x14ac:dyDescent="0.3">
      <c r="A410" s="141" t="s">
        <v>459</v>
      </c>
      <c r="B410" s="141">
        <v>72</v>
      </c>
      <c r="C410" s="141">
        <v>8.3000000000000007</v>
      </c>
      <c r="D410" s="142">
        <f t="shared" si="1"/>
        <v>0.11527777777777778</v>
      </c>
    </row>
    <row r="414" spans="1:4" x14ac:dyDescent="0.3">
      <c r="A414" s="141" t="s">
        <v>460</v>
      </c>
      <c r="B414" s="141">
        <v>0.5</v>
      </c>
    </row>
    <row r="415" spans="1:4" x14ac:dyDescent="0.3">
      <c r="A415" s="141" t="s">
        <v>461</v>
      </c>
      <c r="B415" s="141">
        <f>55/0.5*1</f>
        <v>110</v>
      </c>
    </row>
    <row r="419" spans="1:7" x14ac:dyDescent="0.3">
      <c r="A419" s="141" t="s">
        <v>462</v>
      </c>
      <c r="B419" s="141">
        <v>80</v>
      </c>
      <c r="C419" s="127" t="s">
        <v>463</v>
      </c>
    </row>
    <row r="423" spans="1:7" x14ac:dyDescent="0.3">
      <c r="A423" s="253" t="s">
        <v>464</v>
      </c>
      <c r="B423" s="253"/>
      <c r="C423" s="253"/>
      <c r="D423" s="253"/>
      <c r="E423" s="253"/>
      <c r="F423" s="253"/>
      <c r="G423" s="253"/>
    </row>
    <row r="425" spans="1:7" x14ac:dyDescent="0.3">
      <c r="A425" s="141" t="s">
        <v>465</v>
      </c>
      <c r="B425" s="141" t="s">
        <v>466</v>
      </c>
      <c r="C425" s="141" t="s">
        <v>467</v>
      </c>
      <c r="D425" s="141" t="s">
        <v>468</v>
      </c>
      <c r="E425" s="141" t="s">
        <v>469</v>
      </c>
      <c r="F425" s="127" t="s">
        <v>470</v>
      </c>
    </row>
    <row r="426" spans="1:7" x14ac:dyDescent="0.3">
      <c r="A426" s="141"/>
      <c r="B426" s="184">
        <v>0.34799999999999998</v>
      </c>
      <c r="C426" s="184">
        <v>0.20100000000000001</v>
      </c>
      <c r="D426" s="184">
        <v>0.27100000000000002</v>
      </c>
      <c r="E426" s="184">
        <v>0.18099999999999999</v>
      </c>
    </row>
    <row r="428" spans="1:7" x14ac:dyDescent="0.3">
      <c r="A428" s="142" t="s">
        <v>471</v>
      </c>
      <c r="B428" s="142">
        <f>B426*0.5+C426*1.5+D426*3.5+E426*5.5</f>
        <v>2.4195000000000002</v>
      </c>
    </row>
    <row r="429" spans="1:7" x14ac:dyDescent="0.3">
      <c r="A429" s="141" t="s">
        <v>472</v>
      </c>
      <c r="B429" s="142">
        <v>3.2519999999999998</v>
      </c>
      <c r="C429" s="127" t="s">
        <v>353</v>
      </c>
    </row>
    <row r="430" spans="1:7" x14ac:dyDescent="0.3">
      <c r="A430" s="141" t="s">
        <v>473</v>
      </c>
      <c r="B430" s="142">
        <v>3.2690000000000001</v>
      </c>
      <c r="C430" s="127" t="s">
        <v>353</v>
      </c>
    </row>
    <row r="432" spans="1:7" x14ac:dyDescent="0.3">
      <c r="A432" s="142" t="s">
        <v>474</v>
      </c>
      <c r="B432" s="142">
        <f>B279</f>
        <v>25.29</v>
      </c>
      <c r="C432" s="127" t="s">
        <v>344</v>
      </c>
    </row>
    <row r="433" spans="1:5" x14ac:dyDescent="0.3">
      <c r="A433" s="130" t="s">
        <v>345</v>
      </c>
      <c r="B433" s="130">
        <f>(B438+(B432*C438*C437)+(B432*D438*D437))*B11</f>
        <v>19.439560254526274</v>
      </c>
    </row>
    <row r="434" spans="1:5" x14ac:dyDescent="0.3">
      <c r="A434" s="126"/>
      <c r="B434" s="126"/>
    </row>
    <row r="435" spans="1:5" x14ac:dyDescent="0.3">
      <c r="A435" s="182"/>
      <c r="B435" s="275" t="s">
        <v>346</v>
      </c>
      <c r="C435" s="275"/>
      <c r="D435" s="275"/>
      <c r="E435" s="127" t="s">
        <v>347</v>
      </c>
    </row>
    <row r="436" spans="1:5" x14ac:dyDescent="0.3">
      <c r="A436" s="275" t="s">
        <v>475</v>
      </c>
      <c r="B436" s="280" t="s">
        <v>348</v>
      </c>
      <c r="C436" s="275" t="s">
        <v>476</v>
      </c>
      <c r="D436" s="275" t="s">
        <v>477</v>
      </c>
    </row>
    <row r="437" spans="1:5" x14ac:dyDescent="0.3">
      <c r="A437" s="142" t="s">
        <v>80</v>
      </c>
      <c r="B437" s="189">
        <v>1</v>
      </c>
      <c r="C437" s="130">
        <v>265</v>
      </c>
      <c r="D437" s="130">
        <v>28</v>
      </c>
    </row>
    <row r="438" spans="1:5" x14ac:dyDescent="0.3">
      <c r="A438" s="142" t="s">
        <v>478</v>
      </c>
      <c r="B438" s="189">
        <v>8.7799999999999994</v>
      </c>
      <c r="C438" s="130">
        <f>0.0038/1000</f>
        <v>3.8E-6</v>
      </c>
      <c r="D438" s="130">
        <f>0.0172/1000</f>
        <v>1.7200000000000001E-5</v>
      </c>
    </row>
    <row r="440" spans="1:5" x14ac:dyDescent="0.3">
      <c r="A440" s="279" t="s">
        <v>479</v>
      </c>
      <c r="B440" s="279"/>
    </row>
    <row r="441" spans="1:5" x14ac:dyDescent="0.3">
      <c r="A441" s="190" t="s">
        <v>480</v>
      </c>
      <c r="B441" s="191">
        <v>12000</v>
      </c>
      <c r="C441" s="127" t="s">
        <v>481</v>
      </c>
    </row>
    <row r="442" spans="1:5" x14ac:dyDescent="0.3">
      <c r="A442" s="190" t="s">
        <v>482</v>
      </c>
      <c r="B442" s="192">
        <v>6.33</v>
      </c>
      <c r="C442" s="127" t="s">
        <v>483</v>
      </c>
    </row>
    <row r="443" spans="1:5" x14ac:dyDescent="0.3">
      <c r="A443" s="190" t="s">
        <v>484</v>
      </c>
      <c r="B443" s="191">
        <f>B441/B442</f>
        <v>1895.7345971563982</v>
      </c>
    </row>
    <row r="444" spans="1:5" x14ac:dyDescent="0.3">
      <c r="A444" s="193" t="s">
        <v>485</v>
      </c>
      <c r="B444" s="193">
        <f>(B457+(B442*C457*C456)+(B442*D457*D456))*B11</f>
        <v>22.52891408006008</v>
      </c>
    </row>
    <row r="445" spans="1:5" x14ac:dyDescent="0.3">
      <c r="A445" s="52"/>
      <c r="B445" s="52"/>
    </row>
    <row r="446" spans="1:5" x14ac:dyDescent="0.3">
      <c r="A446" s="279" t="s">
        <v>486</v>
      </c>
      <c r="B446" s="279"/>
    </row>
    <row r="447" spans="1:5" x14ac:dyDescent="0.3">
      <c r="A447" s="190" t="s">
        <v>487</v>
      </c>
      <c r="B447" s="194">
        <v>0.3</v>
      </c>
      <c r="C447" s="127" t="s">
        <v>488</v>
      </c>
    </row>
    <row r="448" spans="1:5" x14ac:dyDescent="0.3">
      <c r="A448" s="190" t="s">
        <v>489</v>
      </c>
      <c r="B448" s="192">
        <f>B442*(1+B447)</f>
        <v>8.229000000000001</v>
      </c>
    </row>
    <row r="449" spans="1:4" x14ac:dyDescent="0.3">
      <c r="A449" s="190" t="s">
        <v>484</v>
      </c>
      <c r="B449" s="191">
        <f>B441/B448</f>
        <v>1458.2573824279984</v>
      </c>
    </row>
    <row r="450" spans="1:4" x14ac:dyDescent="0.3">
      <c r="A450" s="195" t="s">
        <v>490</v>
      </c>
      <c r="B450" s="195">
        <f>(B457+(B448*C457*C456)+(B448*D457*D456))*B11</f>
        <v>22.534837244078101</v>
      </c>
      <c r="D450" s="125"/>
    </row>
    <row r="451" spans="1:4" x14ac:dyDescent="0.3">
      <c r="A451" s="52"/>
      <c r="B451" s="52"/>
    </row>
    <row r="452" spans="1:4" x14ac:dyDescent="0.3">
      <c r="A452" s="142" t="s">
        <v>491</v>
      </c>
      <c r="B452" s="192">
        <v>22.5091702</v>
      </c>
    </row>
    <row r="453" spans="1:4" x14ac:dyDescent="0.3">
      <c r="B453" s="52"/>
    </row>
    <row r="454" spans="1:4" x14ac:dyDescent="0.3">
      <c r="A454" s="182"/>
      <c r="B454" s="275" t="s">
        <v>492</v>
      </c>
      <c r="C454" s="275"/>
      <c r="D454" s="275"/>
    </row>
    <row r="455" spans="1:4" x14ac:dyDescent="0.3">
      <c r="A455" s="275" t="s">
        <v>475</v>
      </c>
      <c r="B455" s="275" t="s">
        <v>348</v>
      </c>
      <c r="C455" s="275" t="s">
        <v>476</v>
      </c>
      <c r="D455" s="275" t="s">
        <v>477</v>
      </c>
    </row>
    <row r="456" spans="1:4" x14ac:dyDescent="0.3">
      <c r="A456" s="142" t="s">
        <v>80</v>
      </c>
      <c r="B456" s="130">
        <v>1</v>
      </c>
      <c r="C456" s="130">
        <v>265</v>
      </c>
      <c r="D456" s="130">
        <v>28</v>
      </c>
    </row>
    <row r="457" spans="1:4" x14ac:dyDescent="0.3">
      <c r="A457" s="142" t="s">
        <v>478</v>
      </c>
      <c r="B457" s="130">
        <v>10.210000000000001</v>
      </c>
      <c r="C457" s="130">
        <f>0.0048/1000</f>
        <v>4.7999999999999998E-6</v>
      </c>
      <c r="D457" s="130">
        <f>0.0051/1000</f>
        <v>5.1000000000000003E-6</v>
      </c>
    </row>
    <row r="461" spans="1:4" x14ac:dyDescent="0.3">
      <c r="A461" s="279" t="s">
        <v>493</v>
      </c>
      <c r="B461" s="279"/>
    </row>
    <row r="462" spans="1:4" x14ac:dyDescent="0.3">
      <c r="A462" s="128" t="s">
        <v>494</v>
      </c>
      <c r="B462" s="196">
        <v>11244</v>
      </c>
      <c r="C462" s="127" t="s">
        <v>495</v>
      </c>
    </row>
    <row r="463" spans="1:4" x14ac:dyDescent="0.3">
      <c r="A463" s="197" t="s">
        <v>474</v>
      </c>
      <c r="B463" s="197">
        <f>B432</f>
        <v>25.29</v>
      </c>
      <c r="C463" s="127" t="s">
        <v>344</v>
      </c>
    </row>
    <row r="464" spans="1:4" x14ac:dyDescent="0.3">
      <c r="A464" s="190" t="s">
        <v>484</v>
      </c>
      <c r="B464" s="191">
        <f>B462/B463</f>
        <v>444.60260972716492</v>
      </c>
    </row>
    <row r="465" spans="1:3" x14ac:dyDescent="0.3">
      <c r="A465" s="193" t="s">
        <v>345</v>
      </c>
      <c r="B465" s="193">
        <f>(B438+(B463*C438*C437)+(B463*D438*D437))*B11</f>
        <v>19.439560254526274</v>
      </c>
    </row>
    <row r="466" spans="1:3" x14ac:dyDescent="0.3">
      <c r="A466" s="52"/>
      <c r="B466" s="52"/>
    </row>
    <row r="467" spans="1:3" x14ac:dyDescent="0.3">
      <c r="A467" s="52"/>
      <c r="B467" s="52"/>
    </row>
    <row r="468" spans="1:3" x14ac:dyDescent="0.3">
      <c r="A468" s="279" t="s">
        <v>496</v>
      </c>
      <c r="B468" s="279"/>
    </row>
    <row r="469" spans="1:3" x14ac:dyDescent="0.3">
      <c r="A469" s="118" t="s">
        <v>497</v>
      </c>
      <c r="B469" s="118">
        <v>50</v>
      </c>
      <c r="C469" s="127" t="s">
        <v>498</v>
      </c>
    </row>
    <row r="470" spans="1:3" x14ac:dyDescent="0.3">
      <c r="A470" s="198" t="s">
        <v>484</v>
      </c>
      <c r="B470" s="199">
        <f>B462/B469</f>
        <v>224.88</v>
      </c>
    </row>
    <row r="471" spans="1:3" x14ac:dyDescent="0.3">
      <c r="A471" s="130" t="s">
        <v>499</v>
      </c>
      <c r="B471" s="130">
        <f>(B438+(B469*C438*C437)+(B469*D438*D437))*B11</f>
        <v>19.520653466599995</v>
      </c>
    </row>
    <row r="474" spans="1:3" x14ac:dyDescent="0.3">
      <c r="A474" s="142" t="s">
        <v>491</v>
      </c>
      <c r="B474" s="200">
        <v>19.356563599999998</v>
      </c>
    </row>
  </sheetData>
  <sheetProtection algorithmName="SHA-512" hashValue="egT3F/2wwI+OFdxMq3ImtAc3eP6S0lJtx9LlluaINgYQa4Ila9Q8WigihBP7UgRMV4QA8e1JDt1/cMk31GYVqA==" saltValue="499FlKl6P5E8qFUR+rt6eg==" spinCount="100000" sheet="1" objects="1" scenarios="1"/>
  <mergeCells count="1">
    <mergeCell ref="A74:A84"/>
  </mergeCells>
  <dataValidations count="2">
    <dataValidation allowBlank="1" showInputMessage="1" showErrorMessage="1" prompt="This section contains the options available in the pull-down menus on the INPUTS tab.  You can modify the options here, or modify the selection on the INPUTS tab." sqref="B73:J84" xr:uid="{D3013A4E-2C3D-46CD-BD0B-5DFF774E1AA3}"/>
    <dataValidation allowBlank="1" showInputMessage="1" showErrorMessage="1" prompt="Users can compare ENERGY STAR bulbs to incandescent bulbs or to a new type of halogen bulbs that have similar light output to incandescents but slightly lower wattage due to new Federal standards. _x000a__x000a_Learn more using the link below about EISA." sqref="A73:A84" xr:uid="{A6104FC8-888C-4BB5-9BC7-479DF2BC02A9}"/>
  </dataValidations>
  <hyperlinks>
    <hyperlink ref="C39" r:id="rId1" location="/topic/7?agg=0,1&amp;geo=g00000000001&amp;endsec=vg&amp;linechart=ELEC.PRICE.US-ALL.A&amp;columnchart=ELEC.PRICE.US-ALL.A&amp;map=ELEC.PRICE.US-ALL.A&amp;freq=A&amp;ctype=linechart&amp;ltype=pin&amp;rtype=s&amp;pin=&amp;rse=0&amp;maptype=0" xr:uid="{46CD2C1C-98AD-4516-A0DC-21A836F4FE1D}"/>
    <hyperlink ref="C45" r:id="rId2" xr:uid="{5DA1A928-B18D-40EE-B6FB-9A87B1965FF3}"/>
    <hyperlink ref="A64" r:id="rId3" xr:uid="{8E75DE74-45AC-4D09-87D0-5071AAE4EE28}"/>
    <hyperlink ref="A65" r:id="rId4" xr:uid="{9CB3F33C-1659-49BE-ABA2-849D9295686D}"/>
    <hyperlink ref="F102" r:id="rId5" xr:uid="{C984D299-8971-49E4-8D63-2AC80D7A43DC}"/>
    <hyperlink ref="C47" r:id="rId6" xr:uid="{7A9332E6-D4FE-466A-98F3-16763AD04302}"/>
    <hyperlink ref="C67" r:id="rId7" xr:uid="{919C5212-7F54-47EE-B66D-B0B3C6D1B962}"/>
    <hyperlink ref="C68" r:id="rId8" xr:uid="{57DF9F54-54DD-4B8B-89E7-CA9BA2D62D3C}"/>
    <hyperlink ref="C69" r:id="rId9" xr:uid="{E2B1BD70-214F-4426-997A-5F5E92C444E2}"/>
    <hyperlink ref="C124" r:id="rId10" xr:uid="{C5D0BC9D-B010-4D4B-86BB-78A158639718}"/>
    <hyperlink ref="C127" r:id="rId11" xr:uid="{4001FC09-6FA1-48DF-91CC-6815F3157069}"/>
    <hyperlink ref="C136" r:id="rId12" xr:uid="{E4F57ED1-ED07-482A-B980-3899312CDC59}"/>
    <hyperlink ref="D149" r:id="rId13" xr:uid="{94C0EDE4-E2E0-4016-ABFD-5C769C12EE40}"/>
    <hyperlink ref="D147" r:id="rId14" xr:uid="{1D236A3B-1D0A-465F-B118-F0D06AF206AE}"/>
    <hyperlink ref="D146" r:id="rId15" xr:uid="{A3306BCC-FC56-4A5D-9502-D7241E951392}"/>
    <hyperlink ref="D144" r:id="rId16" xr:uid="{482D6C61-6B79-4B64-817F-80CA8AF2B89C}"/>
    <hyperlink ref="G144" r:id="rId17" xr:uid="{56F7BE97-006E-402D-8EF4-1960D7DAD9C3}"/>
    <hyperlink ref="D148" r:id="rId18" xr:uid="{E62E6E1F-2A56-4670-A10C-0C82F847BF8E}"/>
    <hyperlink ref="D142" r:id="rId19" xr:uid="{A273D1FB-00E9-4826-B9B3-8EAF97F292B0}"/>
    <hyperlink ref="D163" r:id="rId20" xr:uid="{06C4F817-1482-494F-A3E5-ADA2F124FDAC}"/>
    <hyperlink ref="D164" r:id="rId21" xr:uid="{1A289151-8EF6-410D-A255-6155244DAA9A}"/>
    <hyperlink ref="D165" r:id="rId22" xr:uid="{C176C199-8A36-4C9B-B8E2-18605B1BAD27}"/>
    <hyperlink ref="C173" r:id="rId23" xr:uid="{939DF3CE-051C-4554-8B53-B7EE4846BC58}"/>
    <hyperlink ref="C187" r:id="rId24" xr:uid="{9463A643-539A-4DDD-95F2-C9C037CA8832}"/>
    <hyperlink ref="D200" r:id="rId25" xr:uid="{71B3368B-42D6-45C5-BC4C-3815243E05C5}"/>
    <hyperlink ref="F207" r:id="rId26" xr:uid="{F8BEB2DF-A190-4841-BEA5-C9A648CEFC99}"/>
    <hyperlink ref="F215" r:id="rId27" xr:uid="{30AE6DAD-B57B-4C66-B8CA-BD38E7480E68}"/>
    <hyperlink ref="C218" r:id="rId28" xr:uid="{E9AC5D1E-9766-4348-AEBD-48310390F414}"/>
    <hyperlink ref="C224" r:id="rId29" xr:uid="{B0F2E3AB-BD34-408B-BE2A-D832E7842D0F}"/>
    <hyperlink ref="C223" r:id="rId30" xr:uid="{2A74A4DF-68C0-49BC-8CE8-19E098D16BFB}"/>
    <hyperlink ref="D226" r:id="rId31" xr:uid="{439403C9-DF21-46C2-8531-CB96C8474CF4}"/>
    <hyperlink ref="D227" r:id="rId32" xr:uid="{17F36C24-B619-4FE3-9CA0-75E7F42CC8E6}"/>
    <hyperlink ref="C230" r:id="rId33" xr:uid="{B7248974-B7A7-4E94-A25F-188D4873CAC7}"/>
    <hyperlink ref="C235" r:id="rId34" xr:uid="{FF005D3B-F2D0-4553-93AB-2467E88830EB}"/>
    <hyperlink ref="C137" r:id="rId35" xr:uid="{362D68E5-C7B3-45D7-AE9C-DCA977D3633E}"/>
    <hyperlink ref="C239" r:id="rId36" xr:uid="{AE945505-4B3A-41F6-8878-3A57C19EC994}"/>
    <hyperlink ref="C240" r:id="rId37" xr:uid="{1C11165F-485A-4433-94F3-49FE1F584BDF}"/>
    <hyperlink ref="C243" r:id="rId38" xr:uid="{D4477C29-743E-49B6-B497-93ED5CFE6935}"/>
    <hyperlink ref="C246" r:id="rId39" xr:uid="{6DCF5848-5E5B-4F50-9DE4-472311841812}"/>
    <hyperlink ref="C245" r:id="rId40" xr:uid="{C916A1E8-CE41-4383-B85F-BB6C5CF582E8}"/>
    <hyperlink ref="C244" r:id="rId41" xr:uid="{57FCBF4B-E4AC-4EDC-94ED-CBFC26862735}"/>
    <hyperlink ref="C248" r:id="rId42" xr:uid="{9BB95B45-C9A5-43E0-8B89-BB1DB53685DF}"/>
    <hyperlink ref="C252" r:id="rId43" location=".XRvuOOhKjcs" xr:uid="{BD8C37C2-95E8-421D-8ACD-DE086AC16D15}"/>
    <hyperlink ref="H264" r:id="rId44" xr:uid="{728D0514-835E-440B-AB1F-FC21F70CA33B}"/>
    <hyperlink ref="C265" r:id="rId45" xr:uid="{8036D56B-074A-4FC1-97C2-4764EE3AA629}"/>
    <hyperlink ref="C267" r:id="rId46" xr:uid="{E45906EE-F027-438D-BBFC-B45BA3D357D0}"/>
    <hyperlink ref="C278" r:id="rId47" xr:uid="{D3709C57-F7A4-4419-A4C3-CF5E09932140}"/>
    <hyperlink ref="C289" r:id="rId48" xr:uid="{CF5769A3-9454-44A4-98DF-064AA40BBBB5}"/>
    <hyperlink ref="C264" r:id="rId49" xr:uid="{805DFD8F-571C-4900-8519-95B91D7EC464}"/>
    <hyperlink ref="D282" r:id="rId50" xr:uid="{427C4CCF-6945-4659-8366-E77BECD46C33}"/>
    <hyperlink ref="C294" r:id="rId51" xr:uid="{6C31DEAE-0874-479B-8510-E3352C1EF6C1}"/>
    <hyperlink ref="C301" r:id="rId52" xr:uid="{3DEA393E-027B-415F-9400-DDB0FD52E9AC}"/>
    <hyperlink ref="C298" r:id="rId53" xr:uid="{F40DC528-06E5-4982-BC3E-AC13AB5CB8B9}"/>
    <hyperlink ref="C309" r:id="rId54" xr:uid="{B3151325-0C27-4083-BFC5-0C00F01400C5}"/>
    <hyperlink ref="C304" r:id="rId55" xr:uid="{285E6E72-FEA6-41F7-960C-D68DC2E19DB0}"/>
    <hyperlink ref="C306" r:id="rId56" xr:uid="{7433CD2F-81F2-49E0-A574-8FC24FD4B657}"/>
    <hyperlink ref="C314" r:id="rId57" xr:uid="{F2D1FF05-738E-4662-86B5-5BFC2DF0355C}"/>
    <hyperlink ref="C315" r:id="rId58" xr:uid="{ED444864-BC79-47C1-8FF5-025FC2FC8825}"/>
    <hyperlink ref="C330" r:id="rId59" xr:uid="{1749229A-F0CA-41A9-95C3-5547AA88531E}"/>
    <hyperlink ref="C334" r:id="rId60" xr:uid="{A0DFEC95-7C85-4272-A4E5-5586DC680B3E}"/>
    <hyperlink ref="C335:C338" r:id="rId61" display="https://www.asla.org/raingardens.aspx" xr:uid="{95C43C43-6B06-4451-B7C1-274DEC7202E3}"/>
    <hyperlink ref="D330" r:id="rId62" xr:uid="{D26C0BF9-29B9-420E-8236-DC9571AEE829}"/>
    <hyperlink ref="D328" r:id="rId63" xr:uid="{6ED08D5D-E849-490A-AF11-14E8577F529E}"/>
    <hyperlink ref="C341" r:id="rId64" xr:uid="{D04AB5B5-F7C0-42EB-BA69-3B0641AD4F78}"/>
    <hyperlink ref="C342" r:id="rId65" xr:uid="{3956CF38-6A31-48B9-97E8-37218B3BD102}"/>
    <hyperlink ref="D353" r:id="rId66" xr:uid="{9CB34345-B576-458B-84BD-052EEC9E0E68}"/>
    <hyperlink ref="D354" r:id="rId67" xr:uid="{F5A72BFB-5C30-450E-B477-17F82D2E3099}"/>
    <hyperlink ref="D356" r:id="rId68" xr:uid="{276DC6DC-9DBF-4086-B173-C88AD275F885}"/>
    <hyperlink ref="D355" r:id="rId69" xr:uid="{0A4278F8-8625-4CE0-B133-E0948390BBFD}"/>
    <hyperlink ref="C364" r:id="rId70" xr:uid="{0AECBDFD-B440-486A-B457-FB69A9896A2B}"/>
    <hyperlink ref="C365" r:id="rId71" xr:uid="{C628F4D1-229A-42E5-926C-B2DBF6518BF4}"/>
    <hyperlink ref="C371" r:id="rId72" xr:uid="{580365A5-4EED-4165-B73D-C7A6633B6747}"/>
    <hyperlink ref="C419" r:id="rId73" xr:uid="{56F2FA95-1AA3-41B3-BE2D-7B782FBBE3A7}"/>
    <hyperlink ref="C432" r:id="rId74" xr:uid="{81F15138-A181-4908-A61E-EE95BFC25C2A}"/>
    <hyperlink ref="C279" r:id="rId75" xr:uid="{8D58CF95-2BC3-493D-BEF3-A2C330E9FAF6}"/>
    <hyperlink ref="C429" r:id="rId76" xr:uid="{D2437990-B0F6-41BD-A629-D002D36C75C4}"/>
    <hyperlink ref="E435" r:id="rId77" xr:uid="{2185AA96-837A-4985-BEA9-7A0A03D69DF5}"/>
    <hyperlink ref="F425" r:id="rId78" xr:uid="{AC2F7D5C-CC7E-469D-8AEA-1A64BE9D55F9}"/>
    <hyperlink ref="C441" r:id="rId79" xr:uid="{C0AEB51A-A905-4781-AB0D-F1FD569C4B48}"/>
    <hyperlink ref="C442" r:id="rId80" xr:uid="{028DFA15-C204-4230-82CA-8271B00C1E2C}"/>
    <hyperlink ref="C447" r:id="rId81" xr:uid="{47A01210-7F35-4738-8233-B5937BC3CB5A}"/>
    <hyperlink ref="C462" r:id="rId82" xr:uid="{FB739632-A38A-4725-94D7-63FC8D50B3B1}"/>
    <hyperlink ref="C463" r:id="rId83" xr:uid="{F94095E1-2454-454D-B51B-EB62AF9B57F5}"/>
    <hyperlink ref="C469" r:id="rId84" xr:uid="{6D3F1BAB-1287-4650-8EB9-4FD244ED2D5C}"/>
    <hyperlink ref="C367" r:id="rId85" xr:uid="{7BEEE5E4-DDB7-4184-9241-DA0371AB9E86}"/>
    <hyperlink ref="C430" r:id="rId86" xr:uid="{940F213A-5E97-46AA-90E2-A31F2EBC7624}"/>
    <hyperlink ref="C273" r:id="rId87" xr:uid="{0DFE256B-DC63-410A-B9D0-6F4CD287B2A4}"/>
    <hyperlink ref="C350" r:id="rId88" xr:uid="{251ECC3B-CF95-4562-AE9A-DF7940215B3A}"/>
    <hyperlink ref="C190" r:id="rId89" xr:uid="{E68D00EC-5AD8-4692-8C36-B76933F123D3}"/>
    <hyperlink ref="C193" r:id="rId90" xr:uid="{2A8D9983-0762-491C-91A7-A05390004BFB}"/>
    <hyperlink ref="C194" r:id="rId91" display="https://www.webstaurantstore.com/genpak-10500-10-3-8-x-8-3-8-x-1-3-16-5-compartment-white-foam-school-tray-case/37410500    WHITE.html" xr:uid="{48AFA34E-0FA6-4139-9C56-AF88C2BD7AC8}"/>
    <hyperlink ref="C195" r:id="rId92" xr:uid="{6E9096F2-A7C9-4CD5-8E6B-E47E6275174A}"/>
    <hyperlink ref="C198" r:id="rId93" xr:uid="{D7CB9915-2786-4C79-80BC-9EFE9B2E24B7}"/>
    <hyperlink ref="C254" r:id="rId94" xr:uid="{981C1624-9572-466C-A874-38E7055E875D}"/>
    <hyperlink ref="C255" r:id="rId95" xr:uid="{1E23DFAE-E647-4733-9921-605574A0E42C}"/>
    <hyperlink ref="C369" r:id="rId96" xr:uid="{AB38C80E-7828-40AC-AE9D-CA65E1C69780}"/>
    <hyperlink ref="C260" r:id="rId97" xr:uid="{B32C1B10-94C6-445C-8AA9-40BE31F96DB8}"/>
    <hyperlink ref="C120" r:id="rId98" xr:uid="{80960478-78C6-4181-AD6B-A4085031B97B}"/>
    <hyperlink ref="D120" r:id="rId99" xr:uid="{E8C17F9E-3F6E-4937-B47C-C8D44BB96675}"/>
    <hyperlink ref="E120" r:id="rId100" xr:uid="{881D939B-CBAA-4A9D-AD06-79F0FD5B3454}"/>
    <hyperlink ref="F120" r:id="rId101" xr:uid="{AC4297B7-B923-49DD-894F-088C897A143A}"/>
    <hyperlink ref="C42" r:id="rId102" xr:uid="{95D66614-F849-4576-A252-312E4D50D1F4}"/>
    <hyperlink ref="C117" r:id="rId103" xr:uid="{F080592B-87F3-464E-9632-06F02B03D6D8}"/>
    <hyperlink ref="C344" r:id="rId104" xr:uid="{4815E3D6-85E5-4E56-A6BE-3DBAD1D51ABC}"/>
    <hyperlink ref="D177" r:id="rId105" xr:uid="{27F0A29C-0D15-46B9-86EA-FCBEE616E60D}"/>
  </hyperlinks>
  <pageMargins left="0.7" right="0.7" top="0.75" bottom="0.75" header="0.3" footer="0.3"/>
  <pageSetup orientation="portrait" horizontalDpi="360" verticalDpi="360" r:id="rId106"/>
  <legacyDrawing r:id="rId10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1EFCD-D04A-42AD-84FD-0D9FF09C5B3D}">
  <dimension ref="A1:C29"/>
  <sheetViews>
    <sheetView zoomScaleNormal="100" workbookViewId="0">
      <selection activeCell="B7" sqref="B7"/>
    </sheetView>
  </sheetViews>
  <sheetFormatPr defaultColWidth="8.88671875" defaultRowHeight="14.4" x14ac:dyDescent="0.3"/>
  <cols>
    <col min="1" max="1" width="28.33203125" style="29" customWidth="1"/>
    <col min="2" max="2" width="154.44140625" style="29" customWidth="1"/>
    <col min="3" max="16384" width="8.88671875" style="29"/>
  </cols>
  <sheetData>
    <row r="1" spans="1:3" ht="51" customHeight="1" x14ac:dyDescent="0.4">
      <c r="A1" s="284" t="s">
        <v>515</v>
      </c>
      <c r="B1" s="285"/>
    </row>
    <row r="2" spans="1:3" ht="15" thickBot="1" x14ac:dyDescent="0.35">
      <c r="A2" s="281" t="s">
        <v>516</v>
      </c>
      <c r="B2" s="281" t="s">
        <v>517</v>
      </c>
    </row>
    <row r="3" spans="1:3" ht="15" thickBot="1" x14ac:dyDescent="0.35">
      <c r="A3" s="282" t="s">
        <v>518</v>
      </c>
      <c r="B3" s="283"/>
    </row>
    <row r="4" spans="1:3" x14ac:dyDescent="0.3">
      <c r="A4" s="41" t="s">
        <v>519</v>
      </c>
      <c r="B4" s="45" t="s">
        <v>520</v>
      </c>
      <c r="C4" s="40"/>
    </row>
    <row r="5" spans="1:3" x14ac:dyDescent="0.3">
      <c r="A5" s="42" t="s">
        <v>521</v>
      </c>
      <c r="B5" s="43" t="s">
        <v>522</v>
      </c>
    </row>
    <row r="6" spans="1:3" ht="28.8" x14ac:dyDescent="0.3">
      <c r="A6" s="42" t="s">
        <v>523</v>
      </c>
      <c r="B6" s="44" t="s">
        <v>524</v>
      </c>
    </row>
    <row r="7" spans="1:3" x14ac:dyDescent="0.3">
      <c r="A7" s="42" t="s">
        <v>525</v>
      </c>
      <c r="B7" s="44" t="s">
        <v>526</v>
      </c>
    </row>
    <row r="8" spans="1:3" x14ac:dyDescent="0.3">
      <c r="A8" s="42" t="s">
        <v>527</v>
      </c>
      <c r="B8" s="44" t="s">
        <v>528</v>
      </c>
    </row>
    <row r="9" spans="1:3" ht="15" thickBot="1" x14ac:dyDescent="0.35">
      <c r="A9" s="34"/>
    </row>
    <row r="10" spans="1:3" x14ac:dyDescent="0.3">
      <c r="A10" s="286" t="s">
        <v>529</v>
      </c>
      <c r="B10" s="287"/>
    </row>
    <row r="11" spans="1:3" x14ac:dyDescent="0.3">
      <c r="A11" s="35" t="s">
        <v>530</v>
      </c>
      <c r="B11" s="37" t="s">
        <v>531</v>
      </c>
      <c r="C11" s="40"/>
    </row>
    <row r="12" spans="1:3" x14ac:dyDescent="0.3">
      <c r="A12" s="36"/>
      <c r="B12" s="38" t="s">
        <v>532</v>
      </c>
      <c r="C12" s="40"/>
    </row>
    <row r="13" spans="1:3" x14ac:dyDescent="0.3">
      <c r="A13" s="36"/>
      <c r="B13" s="39" t="s">
        <v>533</v>
      </c>
      <c r="C13" s="40"/>
    </row>
    <row r="14" spans="1:3" x14ac:dyDescent="0.3">
      <c r="A14" s="36"/>
      <c r="B14" s="39" t="s">
        <v>534</v>
      </c>
      <c r="C14" s="40"/>
    </row>
    <row r="15" spans="1:3" x14ac:dyDescent="0.3">
      <c r="A15" s="42"/>
      <c r="B15" s="39"/>
      <c r="C15" s="40"/>
    </row>
    <row r="16" spans="1:3" x14ac:dyDescent="0.3">
      <c r="A16" s="46" t="s">
        <v>535</v>
      </c>
      <c r="B16" s="39" t="s">
        <v>536</v>
      </c>
      <c r="C16" s="40"/>
    </row>
    <row r="17" spans="1:3" x14ac:dyDescent="0.3">
      <c r="A17" s="40"/>
      <c r="B17" s="39" t="s">
        <v>537</v>
      </c>
      <c r="C17" s="40"/>
    </row>
    <row r="18" spans="1:3" x14ac:dyDescent="0.3">
      <c r="A18" s="40"/>
      <c r="B18" s="39" t="s">
        <v>538</v>
      </c>
      <c r="C18" s="40"/>
    </row>
    <row r="19" spans="1:3" x14ac:dyDescent="0.3">
      <c r="A19" s="40"/>
      <c r="B19" s="39"/>
      <c r="C19" s="40"/>
    </row>
    <row r="20" spans="1:3" x14ac:dyDescent="0.3">
      <c r="A20" s="46" t="s">
        <v>539</v>
      </c>
      <c r="B20" s="39" t="s">
        <v>540</v>
      </c>
      <c r="C20" s="40"/>
    </row>
    <row r="21" spans="1:3" x14ac:dyDescent="0.3">
      <c r="A21" s="40"/>
      <c r="B21" s="39" t="s">
        <v>541</v>
      </c>
      <c r="C21" s="40"/>
    </row>
    <row r="22" spans="1:3" x14ac:dyDescent="0.3">
      <c r="A22" s="40"/>
      <c r="B22" s="39"/>
      <c r="C22" s="40"/>
    </row>
    <row r="23" spans="1:3" x14ac:dyDescent="0.3">
      <c r="A23" s="46" t="s">
        <v>542</v>
      </c>
      <c r="B23" s="39" t="s">
        <v>543</v>
      </c>
      <c r="C23" s="40"/>
    </row>
    <row r="24" spans="1:3" x14ac:dyDescent="0.3">
      <c r="A24" s="46"/>
      <c r="B24" s="39"/>
      <c r="C24" s="40"/>
    </row>
    <row r="25" spans="1:3" x14ac:dyDescent="0.3">
      <c r="A25" s="46" t="s">
        <v>544</v>
      </c>
      <c r="B25" s="39" t="s">
        <v>545</v>
      </c>
      <c r="C25" s="40"/>
    </row>
    <row r="26" spans="1:3" x14ac:dyDescent="0.3">
      <c r="A26" s="46"/>
      <c r="B26" s="39"/>
      <c r="C26" s="40"/>
    </row>
    <row r="27" spans="1:3" x14ac:dyDescent="0.3">
      <c r="A27" s="46" t="s">
        <v>546</v>
      </c>
      <c r="B27" s="39" t="s">
        <v>547</v>
      </c>
      <c r="C27" s="40"/>
    </row>
    <row r="28" spans="1:3" x14ac:dyDescent="0.3">
      <c r="A28" s="40"/>
      <c r="B28" s="39" t="s">
        <v>548</v>
      </c>
      <c r="C28" s="40"/>
    </row>
    <row r="29" spans="1:3" x14ac:dyDescent="0.3">
      <c r="A29" s="40"/>
      <c r="B29" s="39" t="s">
        <v>549</v>
      </c>
      <c r="C29" s="40"/>
    </row>
  </sheetData>
  <sheetProtection algorithmName="SHA-512" hashValue="6Lcc/3jHmndeU+BUTMiijmyefBDEnmQJjz/YNc+yVwGwEYKrjmZ0Xw6CsFGqirhBIR8ubGBFfvcjqrjzw0r7KA==" saltValue="+rX+bLVHfMKXtjTN3bgrHA==" spinCount="100000" sheet="1" objects="1" scenarios="1"/>
  <hyperlinks>
    <hyperlink ref="B11" r:id="rId1" xr:uid="{2FBB01B2-374A-4E09-972A-176B74D937A0}"/>
    <hyperlink ref="B12" r:id="rId2" xr:uid="{51F90524-6DC4-41EB-85F8-501A0F9F29C7}"/>
    <hyperlink ref="B13" r:id="rId3" xr:uid="{85986155-7F61-4C1E-B2B5-8167EF0EA15D}"/>
    <hyperlink ref="B14" r:id="rId4" xr:uid="{8733ABE9-C6AB-4485-BA00-E078ACED7E7D}"/>
    <hyperlink ref="B16" r:id="rId5" xr:uid="{AF83596C-F8E0-415D-AD2E-EBE4B3CE5C57}"/>
    <hyperlink ref="B17" r:id="rId6" xr:uid="{F3037A15-5C1E-4414-9D44-7998EAAA47EC}"/>
    <hyperlink ref="B18" r:id="rId7" xr:uid="{F13CF58C-B445-415F-8E0D-18FCE9830053}"/>
    <hyperlink ref="B20" r:id="rId8" xr:uid="{CABAE1DF-AC61-4FE9-9250-088C6212225C}"/>
    <hyperlink ref="B21" r:id="rId9" xr:uid="{6ECD792F-3958-41CF-8EF3-8F95276FB146}"/>
    <hyperlink ref="B23" r:id="rId10" xr:uid="{0FB65DED-E335-4979-9E68-CCA500495F00}"/>
    <hyperlink ref="B25" r:id="rId11" xr:uid="{57F3B42A-8E50-427E-AAC6-4B29B0F5FD1C}"/>
    <hyperlink ref="B27" r:id="rId12" xr:uid="{463DB8B8-0527-46CB-A1E9-810D387C7A5B}"/>
    <hyperlink ref="B28" r:id="rId13" xr:uid="{0B3EB005-2E9D-4AC6-93DC-3C9D0CD77BED}"/>
    <hyperlink ref="B29" r:id="rId14" xr:uid="{212CD237-1869-48D7-A994-031D131421FC}"/>
  </hyperlinks>
  <pageMargins left="0.7" right="0.7" top="0.75" bottom="0.75" header="0.3" footer="0.3"/>
  <pageSetup orientation="portrait" horizontalDpi="1200" verticalDpi="1200"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Home Projects</vt:lpstr>
      <vt:lpstr>Results Summary</vt:lpstr>
      <vt:lpstr>Conversion Factors</vt:lpstr>
      <vt:lpstr>Glossary</vt:lpstr>
      <vt:lpstr>CFL_Lighting</vt:lpstr>
      <vt:lpstr>Halogen_Lighting</vt:lpstr>
      <vt:lpstr>Incandescent_Lighting</vt:lpstr>
      <vt:lpstr>Not_sure</vt:lpstr>
      <vt:lpstr>Select_from_the_list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KSecrist</dc:creator>
  <cp:lastModifiedBy>RLee</cp:lastModifiedBy>
  <dcterms:created xsi:type="dcterms:W3CDTF">2020-08-14T22:40:00Z</dcterms:created>
  <dcterms:modified xsi:type="dcterms:W3CDTF">2021-01-26T00:10:09Z</dcterms:modified>
</cp:coreProperties>
</file>